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Q36">
      <text>
        <t xml:space="preserve">the given bimonthly estimate of $32.03, divided by 2
	-Charmaine Mills</t>
      </text>
    </comment>
    <comment authorId="0" ref="U1">
      <text>
        <t xml:space="preserve">negative values indicate an increase in UCSC spending
	-Charmaine Mills
Shows that if we transitioned all accts to SCRM pricing the way it is currently, then the campus would spend more.
	-Charmaine Mills</t>
      </text>
    </comment>
    <comment authorId="0" ref="S2">
      <text>
        <t xml:space="preserve">no data on Shred-it's per stop charges for 32-gallon bins
	-Charmaine Mills</t>
      </text>
    </comment>
    <comment authorId="0" ref="R57">
      <text>
        <t xml:space="preserve">given bimonthly estimate divide by 2
	-Charmaine Mills</t>
      </text>
    </comment>
    <comment authorId="0" ref="R37">
      <text>
        <t xml:space="preserve">based on given bimonthly estimate divided by 2
	-Charmaine Mills</t>
      </text>
    </comment>
    <comment authorId="0" ref="K1">
      <text>
        <t xml:space="preserve">N+O+P
	-Charmaine Mills</t>
      </text>
    </comment>
  </commentList>
</comments>
</file>

<file path=xl/sharedStrings.xml><?xml version="1.0" encoding="utf-8"?>
<sst xmlns="http://schemas.openxmlformats.org/spreadsheetml/2006/main" count="584" uniqueCount="315">
  <si>
    <t xml:space="preserve">Total currently spent on IM per month: </t>
  </si>
  <si>
    <t>Departments</t>
  </si>
  <si>
    <t>Annually:</t>
  </si>
  <si>
    <t>Date Service</t>
  </si>
  <si>
    <t>Contact Name</t>
  </si>
  <si>
    <t>Phone Number</t>
  </si>
  <si>
    <t>PO:</t>
  </si>
  <si>
    <t>Address</t>
  </si>
  <si>
    <t>Container</t>
  </si>
  <si>
    <t>Quantity</t>
  </si>
  <si>
    <t>Frequency of Pick-up</t>
  </si>
  <si>
    <t>Total per Service (SCRM)</t>
  </si>
  <si>
    <t>Total per service (IM)</t>
  </si>
  <si>
    <t>Total Per Service (Shred-it)</t>
  </si>
  <si>
    <t>IM's Container Rate</t>
  </si>
  <si>
    <t>IM's Container Rate x qty</t>
  </si>
  <si>
    <t xml:space="preserve">Total currently spent on SCRM (with current pricing) per month: </t>
  </si>
  <si>
    <t>IM's Minimum</t>
  </si>
  <si>
    <t>IM's Fuel Surcharge</t>
  </si>
  <si>
    <t>IM's Mthly Total</t>
  </si>
  <si>
    <t>SCRM's Mthly Total at Current Pricing*</t>
  </si>
  <si>
    <t>Shred-it's Per stop charge</t>
  </si>
  <si>
    <t>Fuel/Env. Surcharge</t>
  </si>
  <si>
    <t>Total currently spent on Shred it per month:</t>
  </si>
  <si>
    <r>
      <rPr>
        <b/>
      </rPr>
      <t>Difference in monthly total</t>
    </r>
    <r>
      <t xml:space="preserve"> = (IM monthly total)-(SCRM monthly total) based on current pricing</t>
    </r>
  </si>
  <si>
    <t>SCRM's Negotiated Pricing</t>
  </si>
  <si>
    <t>SCRM's negotiated pricing per month</t>
  </si>
  <si>
    <r>
      <rPr>
        <b/>
      </rPr>
      <t>SAVINGS on IM accts</t>
    </r>
    <r>
      <t xml:space="preserve"> = (IM's Mthly Total) - (SCRM's Negotiated pricing per month)</t>
    </r>
  </si>
  <si>
    <t>Current monthly total on all three of them:</t>
  </si>
  <si>
    <r>
      <rPr>
        <b/>
      </rPr>
      <t>SAVINGS</t>
    </r>
    <r>
      <t xml:space="preserve"> </t>
    </r>
    <r>
      <rPr>
        <b/>
      </rPr>
      <t>on SCRM accts</t>
    </r>
    <r>
      <t xml:space="preserve"> = (SCRM's Current Mthly Total) - (SCRM's Negotiated Mthly Total)</t>
    </r>
  </si>
  <si>
    <t>Key and cacluations for projected savings:</t>
  </si>
  <si>
    <t>CURRENT ANNUAL TOTAL ON ALL OF THEM:</t>
  </si>
  <si>
    <t>TRICIA LYALL</t>
  </si>
  <si>
    <t>P0235480</t>
  </si>
  <si>
    <t>1156 HIGH ST // (HUMANITIES &amp; SOCIAL SCIENCE BLDG 2</t>
  </si>
  <si>
    <t>Console</t>
  </si>
  <si>
    <t>Weekly</t>
  </si>
  <si>
    <t>Projected monthly costs of ALL accts w/ SCRM negotiated prices:</t>
  </si>
  <si>
    <t>Projected annual costs of ALL accts w/ SCRM's negotiated prices:</t>
  </si>
  <si>
    <t>no data</t>
  </si>
  <si>
    <t>SAVED MONTHLY:</t>
  </si>
  <si>
    <t>SAVED ANNUAL:</t>
  </si>
  <si>
    <t>(estimate from sheet 1)</t>
  </si>
  <si>
    <t>Campus Life</t>
  </si>
  <si>
    <t>DENISE</t>
  </si>
  <si>
    <t>831-459-5356</t>
  </si>
  <si>
    <t>241 G HAHN BUILDING, CAMPUS LIFE</t>
  </si>
  <si>
    <t>(1) 32 Gallon Console</t>
  </si>
  <si>
    <t>Twice Every Month</t>
  </si>
  <si>
    <t>N/A</t>
  </si>
  <si>
    <t>Cashier Office</t>
  </si>
  <si>
    <t>MELISSA OR LORI</t>
  </si>
  <si>
    <t>831-459-2278</t>
  </si>
  <si>
    <t>Cashiers Office, 102 Hahn Building</t>
  </si>
  <si>
    <t>(1) 64 Gallon Cart</t>
  </si>
  <si>
    <t>KEY:</t>
  </si>
  <si>
    <t>SUSAN GULBE</t>
  </si>
  <si>
    <t>P0568260</t>
  </si>
  <si>
    <t>1156 HIGH ST // ADMISSON DEPT 150 HAHN BLDG</t>
  </si>
  <si>
    <t>(1) 65-GAL</t>
  </si>
  <si>
    <r>
      <rPr>
        <color rgb="FF6FA8DC"/>
      </rPr>
      <t>blue text</t>
    </r>
    <r>
      <t xml:space="preserve"> = projected data</t>
    </r>
  </si>
  <si>
    <t>LORINA FLEMING</t>
  </si>
  <si>
    <t>PO532702</t>
  </si>
  <si>
    <t>200 MCLAUGHLIN DR // ENGINEERING TWO</t>
  </si>
  <si>
    <t>black text = data provided</t>
  </si>
  <si>
    <t>SUSAN LONG</t>
  </si>
  <si>
    <t>PO319279</t>
  </si>
  <si>
    <t>200 MCLAUGHLIN DR // BASKIN ENGINEERING BUILDING</t>
  </si>
  <si>
    <r>
      <rPr>
        <color rgb="FFFF0000"/>
      </rPr>
      <t>red text</t>
    </r>
    <r>
      <t xml:space="preserve"> = an increase in spending for UCSC</t>
    </r>
  </si>
  <si>
    <t>JULIE TORRES</t>
  </si>
  <si>
    <t>P0585205</t>
  </si>
  <si>
    <t>190 HAHN</t>
  </si>
  <si>
    <t xml:space="preserve">green box = Iron Mtn. </t>
  </si>
  <si>
    <t>Academic HR</t>
  </si>
  <si>
    <t>Katherine Wilson</t>
  </si>
  <si>
    <t>831-459-2062</t>
  </si>
  <si>
    <t>Procard</t>
  </si>
  <si>
    <t>KERR HALL, ROOM 499 Santa Cruz, CA 95064</t>
  </si>
  <si>
    <t>Monthly</t>
  </si>
  <si>
    <t>orange box = Shred-it</t>
  </si>
  <si>
    <t>Accounting</t>
  </si>
  <si>
    <t>Sylvia Brown</t>
  </si>
  <si>
    <t>831-459-5709</t>
  </si>
  <si>
    <t>100 Enterprice Way E100 rm 1272 Scotts Valley, CA 95066</t>
  </si>
  <si>
    <t>(2) 32 Gallon Cosoles</t>
  </si>
  <si>
    <t>no fill box under "type of pick-up" = SCRM</t>
  </si>
  <si>
    <t>Chemistry</t>
  </si>
  <si>
    <t>KAREN MEECE</t>
  </si>
  <si>
    <t>831-459-4823</t>
  </si>
  <si>
    <t>BO181349</t>
  </si>
  <si>
    <t>PHYSICAL SCIENCE BUILDING ROOM 230</t>
  </si>
  <si>
    <t>IM = Iron Mountain</t>
  </si>
  <si>
    <t>Ches Administration</t>
  </si>
  <si>
    <t>Evelyn</t>
  </si>
  <si>
    <t>831-459-3971</t>
  </si>
  <si>
    <t>PORTER COLLEGE B ROOM 250</t>
  </si>
  <si>
    <t>SCRM = Santa Cruz Records Management</t>
  </si>
  <si>
    <t>Dining Service</t>
  </si>
  <si>
    <t>ANDREA SORIA</t>
  </si>
  <si>
    <t>831-459-5248</t>
  </si>
  <si>
    <t>1156 HIGH STREET DINING ADMIN BUILDING #7134, ROOM #36</t>
  </si>
  <si>
    <t>Education Department</t>
  </si>
  <si>
    <t>BRYONY COHELAN</t>
  </si>
  <si>
    <t>831-459-1586</t>
  </si>
  <si>
    <t>MC HENRY LIBRARY, ROOM 1278</t>
  </si>
  <si>
    <t>(3) 32 Gallon Console</t>
  </si>
  <si>
    <t>EOP Center</t>
  </si>
  <si>
    <t>Sharon</t>
  </si>
  <si>
    <t>831-459-1902</t>
  </si>
  <si>
    <t>121 Academic Resource Center</t>
  </si>
  <si>
    <t>(1) 96 Gallon Cart</t>
  </si>
  <si>
    <t>Monthly total for IM's current accts if switched to SCRM's negotiated pricing:</t>
  </si>
  <si>
    <t>Faculty Services</t>
  </si>
  <si>
    <t>Tina Nikfarjam/Collen</t>
  </si>
  <si>
    <t>831-459-4888</t>
  </si>
  <si>
    <t>COLLEGE 8 SOCIOLOGY, ROOM # 226</t>
  </si>
  <si>
    <t>Financial Aid</t>
  </si>
  <si>
    <t>Christine Camicia</t>
  </si>
  <si>
    <t>831-459-4342</t>
  </si>
  <si>
    <t>205 Hahn Building Room 201</t>
  </si>
  <si>
    <t>Graduate Division</t>
  </si>
  <si>
    <t>Barbara Smee</t>
  </si>
  <si>
    <t>831-459-5079</t>
  </si>
  <si>
    <t>1156 HIGH STREET, KERR HALL 2ND FLOOR BIN IN 282</t>
  </si>
  <si>
    <t>Total currently spent on IM per month:</t>
  </si>
  <si>
    <t>MCHenry Library</t>
  </si>
  <si>
    <t>Yi-Yen</t>
  </si>
  <si>
    <t>831-459-3631</t>
  </si>
  <si>
    <t>1156 HIGH STREET 4TH FLOOR ROOM 4211</t>
  </si>
  <si>
    <t>MCD Biology</t>
  </si>
  <si>
    <t>Teel Lopez</t>
  </si>
  <si>
    <t>831-459-4986</t>
  </si>
  <si>
    <t>225 SINSHEIMER LABS #225</t>
  </si>
  <si>
    <t>OAC-Archive Processing</t>
  </si>
  <si>
    <t>Kim Hughes</t>
  </si>
  <si>
    <t>831-459-3174</t>
  </si>
  <si>
    <t>1156 HIGH STREET #1170</t>
  </si>
  <si>
    <t>(2) 64 Gallon Cart</t>
  </si>
  <si>
    <t>Total saved monthly on IM accts:</t>
  </si>
  <si>
    <t>OPERS</t>
  </si>
  <si>
    <t>KATIE SAVACOOL</t>
  </si>
  <si>
    <t>831-459-7504</t>
  </si>
  <si>
    <t>EAST FIELD HOUSE, BUILDING 748 2ND FLOOR</t>
  </si>
  <si>
    <t>Staff HR</t>
  </si>
  <si>
    <t>Benjamin Short</t>
  </si>
  <si>
    <t>831-459-1020</t>
  </si>
  <si>
    <t>100 Enterprise Way Modual E</t>
  </si>
  <si>
    <t>(2) 32 Gallon Console</t>
  </si>
  <si>
    <t>Total saved annually on IM accts:</t>
  </si>
  <si>
    <t>Student Business</t>
  </si>
  <si>
    <t>Kim Manss</t>
  </si>
  <si>
    <t>831-459-3073</t>
  </si>
  <si>
    <t>203 HANN BUILDING</t>
  </si>
  <si>
    <t>Technicle Services</t>
  </si>
  <si>
    <t>1156 HIGH STREET, ROOM 1390</t>
  </si>
  <si>
    <t>(3) 64 Gallon Cart</t>
  </si>
  <si>
    <t>University Relation</t>
  </si>
  <si>
    <t>Esther V.</t>
  </si>
  <si>
    <t>831-459-7085</t>
  </si>
  <si>
    <t>100 ENTERPRISE WAY SUITE 200 E</t>
  </si>
  <si>
    <t>(4) 32 Gallon Console</t>
  </si>
  <si>
    <t>Monthly total for Shred-it's accts if switched to SCRM's negotiated price:</t>
  </si>
  <si>
    <t>KEVIN</t>
  </si>
  <si>
    <t>P0555558</t>
  </si>
  <si>
    <t>3175 BOWERS AVENUE</t>
  </si>
  <si>
    <t>1156 HIGH ST. // ADMISSIONS OUTREACH COOK BUILDING</t>
  </si>
  <si>
    <t>RECORDS MANAGER</t>
  </si>
  <si>
    <t>301 HELLER DR // PORTERVILLE COLLEGE BUILDING D ROOM 104</t>
  </si>
  <si>
    <t>Total currently spent on Shred-it per month:</t>
  </si>
  <si>
    <t>SANDRA YATES</t>
  </si>
  <si>
    <t>P0449407</t>
  </si>
  <si>
    <t>4111 MCHENRY LIBRARY</t>
  </si>
  <si>
    <t>96G</t>
  </si>
  <si>
    <t>1FL HALLWAY</t>
  </si>
  <si>
    <t>Med Tote (64Gal)</t>
  </si>
  <si>
    <t>Monthly total saved if switched Shred-it accts to SCRM's negotiated price:</t>
  </si>
  <si>
    <t>Chancellors Office</t>
  </si>
  <si>
    <t>CHARLOTTE</t>
  </si>
  <si>
    <t>831-459-2058</t>
  </si>
  <si>
    <t>KER HALL, SUITES KER HALL, SUITES 224 &amp; 272</t>
  </si>
  <si>
    <t>Every 6 Weeks</t>
  </si>
  <si>
    <t>Annual total saved on Shred-it accts:</t>
  </si>
  <si>
    <t>MARY J SEIRRA</t>
  </si>
  <si>
    <t>1156 HIGH ST</t>
  </si>
  <si>
    <t>(1) CONS</t>
  </si>
  <si>
    <t>Every 6 weeks</t>
  </si>
  <si>
    <t>Anthropology</t>
  </si>
  <si>
    <t>CHRISTINA DOMITROVIC</t>
  </si>
  <si>
    <t>831-459-3320</t>
  </si>
  <si>
    <t>1156 HIGH STREET, SOCIAL SCIENCE BUILDING 1 #361</t>
  </si>
  <si>
    <t>Every Other Month</t>
  </si>
  <si>
    <t>Career Center</t>
  </si>
  <si>
    <t>KATY ELLIOTT/SAMANTHA</t>
  </si>
  <si>
    <t>831-459-2789</t>
  </si>
  <si>
    <t>BAY TREE BOOK STORE, 3RD FLOOR, ROOM #305</t>
  </si>
  <si>
    <t>Total currently spent on SCRM per month:</t>
  </si>
  <si>
    <t xml:space="preserve">Annually: </t>
  </si>
  <si>
    <t>CITRIS/ITI</t>
  </si>
  <si>
    <t>CYNTHIA MCCARLEY</t>
  </si>
  <si>
    <t>831-459-2817</t>
  </si>
  <si>
    <t>5/ENGINEERING II BUILDING, 5TH FLOOR, SUITE 595</t>
  </si>
  <si>
    <t>College 9/10</t>
  </si>
  <si>
    <t>LAURA WILSON</t>
  </si>
  <si>
    <t>831-459-3149</t>
  </si>
  <si>
    <t>SOCIAL SCIENCES BUILDING, ROOM 217</t>
  </si>
  <si>
    <t>Cowell College</t>
  </si>
  <si>
    <t>College Assistant</t>
  </si>
  <si>
    <t>831-459-2253</t>
  </si>
  <si>
    <t>College Academic Room 118</t>
  </si>
  <si>
    <t>Disability Resource Center</t>
  </si>
  <si>
    <t>Jody Bruner</t>
  </si>
  <si>
    <t>831-459-4851</t>
  </si>
  <si>
    <t>1156 HIGH STREET, 146 HAHN BUILDING</t>
  </si>
  <si>
    <t>Monthly total SCRM accts w/ negotiated pricing:</t>
  </si>
  <si>
    <t>Education Partnership</t>
  </si>
  <si>
    <t>Scott Trugman</t>
  </si>
  <si>
    <t>831-459-1748</t>
  </si>
  <si>
    <t>OAKES COLLEGE ROOM 229</t>
  </si>
  <si>
    <t>Family Student Housing</t>
  </si>
  <si>
    <t>Cherl Chiaramonte</t>
  </si>
  <si>
    <t>831-459-2549</t>
  </si>
  <si>
    <t>599 Koshland Way</t>
  </si>
  <si>
    <t>Film &amp; Digital</t>
  </si>
  <si>
    <t>Jennifer Brown</t>
  </si>
  <si>
    <t>831-459-3204</t>
  </si>
  <si>
    <t>COMMUNICATIONS BUILDING 101</t>
  </si>
  <si>
    <t>Monthly total saved on SCRM accts:</t>
  </si>
  <si>
    <t>Internal Audit</t>
  </si>
  <si>
    <t>Deborah Collins</t>
  </si>
  <si>
    <t>831-459-3205</t>
  </si>
  <si>
    <t>100 Enterprise Way Suite 3250</t>
  </si>
  <si>
    <t>Lick Business Office</t>
  </si>
  <si>
    <t>Betsy Lee</t>
  </si>
  <si>
    <t>831-459-4756</t>
  </si>
  <si>
    <t>ISB Room 390</t>
  </si>
  <si>
    <t>Annual saved on SCRM accts:</t>
  </si>
  <si>
    <t>Music Center</t>
  </si>
  <si>
    <t>Susan Gautieri/Alice</t>
  </si>
  <si>
    <t>831-459-2804</t>
  </si>
  <si>
    <t>MUSIC CENTER, ROOM 248</t>
  </si>
  <si>
    <t>Natural Science</t>
  </si>
  <si>
    <t>Paula</t>
  </si>
  <si>
    <t>831-459-5455</t>
  </si>
  <si>
    <t>NATURAL SCIENCE ANNEX, ROOM 204</t>
  </si>
  <si>
    <t>CURRENT ANNUAL TOTAL SPEND ON ALL 3:</t>
  </si>
  <si>
    <t>Particle and Natural Science</t>
  </si>
  <si>
    <t>Mykell</t>
  </si>
  <si>
    <t>831-459-4842</t>
  </si>
  <si>
    <t>NAT. SCI II RM 326</t>
  </si>
  <si>
    <t>PB SCI UG Affairs</t>
  </si>
  <si>
    <t>Jacqueline Bates</t>
  </si>
  <si>
    <t>BASKIN ENGINEERING, OFFICE #142</t>
  </si>
  <si>
    <t xml:space="preserve">TOTAL ANNUAL SAVED: </t>
  </si>
  <si>
    <t>Planning &amp; Budget</t>
  </si>
  <si>
    <t>Carrie</t>
  </si>
  <si>
    <t>831-459-4375</t>
  </si>
  <si>
    <t>Kerr Hall, 3rd floor</t>
  </si>
  <si>
    <t>Projected annual total for SCRM negotiated pricing:</t>
  </si>
  <si>
    <t>Theater Arts Departmet</t>
  </si>
  <si>
    <t>David</t>
  </si>
  <si>
    <t>831-459-4784</t>
  </si>
  <si>
    <t>THEATER ARTS DEPARMENT, ROOM J-104</t>
  </si>
  <si>
    <t>PAT GROSS</t>
  </si>
  <si>
    <t>B0180517</t>
  </si>
  <si>
    <t>1156 HIGH ST, STE 508 PHYS SCI BLDG</t>
  </si>
  <si>
    <t>Every other Month</t>
  </si>
  <si>
    <t>PEGGY MACY</t>
  </si>
  <si>
    <t>P0551416</t>
  </si>
  <si>
    <t>(4) 65-GAL</t>
  </si>
  <si>
    <t>JULIE AGONI</t>
  </si>
  <si>
    <t>P0446442</t>
  </si>
  <si>
    <t>1156 HIGH ST // 107 CLASSROOM UNIT BLDG 1ST FL</t>
  </si>
  <si>
    <t>(2) 65-GAL</t>
  </si>
  <si>
    <t>Quarterly</t>
  </si>
  <si>
    <t>JENNIFER FISH</t>
  </si>
  <si>
    <t>PO516606</t>
  </si>
  <si>
    <t>GRACE KISTLER-FAIR</t>
  </si>
  <si>
    <t>1156 HIGH ST // CROWN COLLEGE</t>
  </si>
  <si>
    <t>MARIA SLIWINSKI</t>
  </si>
  <si>
    <t>PO589767</t>
  </si>
  <si>
    <t>1156 HIGH ST // DEPT OF ASTRONOMY AND PHYSICS, ISB BUILDING ROOM 211</t>
  </si>
  <si>
    <t>Stevenson College Office</t>
  </si>
  <si>
    <t>Gwyn</t>
  </si>
  <si>
    <t>831-453-4930</t>
  </si>
  <si>
    <t>Stevenson Academic Building Rm.111</t>
  </si>
  <si>
    <t>Every 12 Weeks</t>
  </si>
  <si>
    <t>Business &amp; Financial Analysis</t>
  </si>
  <si>
    <t>Karon Dawson</t>
  </si>
  <si>
    <t>831-459-1352</t>
  </si>
  <si>
    <t>100 Enterprise Way Suite E100 rm 3243 3rd floor</t>
  </si>
  <si>
    <t>Call-In (using monthly chg)</t>
  </si>
  <si>
    <t>Information Technology</t>
  </si>
  <si>
    <t>Jackie Davis</t>
  </si>
  <si>
    <t>831-459-1660</t>
  </si>
  <si>
    <t>Kerr hall Room 69 basement (media)</t>
  </si>
  <si>
    <t>Laurie Swan</t>
  </si>
  <si>
    <t>831-459-2990</t>
  </si>
  <si>
    <t>100 Enterprise Way suite 3158</t>
  </si>
  <si>
    <t>(2) 32 Gallon Cosole</t>
  </si>
  <si>
    <t>Records</t>
  </si>
  <si>
    <t>Evette Rose</t>
  </si>
  <si>
    <t>831-459-4887</t>
  </si>
  <si>
    <t>KERR HALL ROOM 159</t>
  </si>
  <si>
    <t>Writing Program</t>
  </si>
  <si>
    <t>PAMELA EDWARDS</t>
  </si>
  <si>
    <t>831-459-3415</t>
  </si>
  <si>
    <t>1156 HIGH STREET, HUMANITIES BUILDING 1, ROOM #209</t>
  </si>
  <si>
    <t>Projected per month total if they had all accts at current price:</t>
  </si>
  <si>
    <t>Total loss per month under SCRM:</t>
  </si>
  <si>
    <t>Projected total per month:</t>
  </si>
  <si>
    <t>Total projected savings per month on IM accts:</t>
  </si>
  <si>
    <t>Total projected savings per month on SCRM accts:</t>
  </si>
  <si>
    <t>ANNUAL LOSS IF SWITCH NOW:</t>
  </si>
  <si>
    <t xml:space="preserve">Projected annual: </t>
  </si>
  <si>
    <t>Projected Annual: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</si>
</sst>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5">
    <font>
      <sz val="10.0"/>
      <color rgb="FF000000"/>
      <name val="Arial"/>
    </font>
    <font>
      <sz val="12.0"/>
      <color rgb="FF6AA84F"/>
    </font>
    <font>
      <sz val="12.0"/>
      <color rgb="FF000000"/>
      <name val="Calibri"/>
    </font>
    <font>
      <sz val="11.0"/>
      <color rgb="FF000000"/>
      <name val="Arial"/>
    </font>
    <font>
      <sz val="12.0"/>
    </font>
    <font>
      <b/>
      <sz val="11.0"/>
      <color rgb="FF000000"/>
      <name val="Arial"/>
    </font>
    <font>
      <sz val="12.0"/>
      <color rgb="FFE69138"/>
    </font>
    <font>
      <name val="Arial"/>
    </font>
    <font>
      <b/>
      <sz val="12.0"/>
    </font>
    <font>
      <sz val="11.0"/>
      <color rgb="FF6FA8DC"/>
      <name val="Arial"/>
    </font>
    <font>
      <sz val="12.0"/>
      <name val="Arial"/>
    </font>
    <font/>
    <font>
      <sz val="11.0"/>
      <name val="Arial"/>
    </font>
    <font>
      <color rgb="FFFF0000"/>
      <name val="Arial"/>
    </font>
    <font>
      <color rgb="FF000000"/>
      <name val="Arial"/>
    </font>
    <font>
      <b/>
      <name val="Arial"/>
    </font>
    <font>
      <sz val="11.0"/>
      <color rgb="FFFF0000"/>
      <name val="Arial"/>
    </font>
    <font>
      <color rgb="FF6AA84F"/>
    </font>
    <font>
      <color rgb="FF6AA84F"/>
      <name val="Arial"/>
    </font>
    <font>
      <color rgb="FFFF9900"/>
      <name val="Arial"/>
    </font>
    <font>
      <color rgb="FF000000"/>
    </font>
    <font>
      <b/>
    </font>
    <font>
      <sz val="11.0"/>
      <color rgb="FF000000"/>
      <name val="Inconsolata"/>
    </font>
    <font>
      <color rgb="FF6FA8DC"/>
    </font>
    <font>
      <sz val="11.0"/>
      <color rgb="FF6FA8DC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13"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164" xfId="0" applyAlignment="1" applyFont="1" applyNumberFormat="1">
      <alignment horizontal="right"/>
    </xf>
    <xf borderId="0" fillId="0" fontId="3" numFmtId="0" xfId="0" applyAlignment="1" applyFont="1">
      <alignment horizontal="center"/>
    </xf>
    <xf borderId="0" fillId="0" fontId="4" numFmtId="0" xfId="0" applyAlignment="1" applyFont="1">
      <alignment/>
    </xf>
    <xf borderId="0" fillId="0" fontId="3" numFmtId="0" xfId="0" applyAlignment="1" applyFont="1">
      <alignment horizontal="center" wrapText="1"/>
    </xf>
    <xf borderId="0" fillId="0" fontId="5" numFmtId="0" xfId="0" applyAlignment="1" applyFont="1">
      <alignment horizontal="center" wrapText="1"/>
    </xf>
    <xf borderId="0" fillId="2" fontId="5" numFmtId="0" xfId="0" applyAlignment="1" applyFill="1" applyFont="1">
      <alignment horizontal="center" wrapText="1"/>
    </xf>
    <xf borderId="0" fillId="0" fontId="4" numFmtId="164" xfId="0" applyFont="1" applyNumberFormat="1"/>
    <xf borderId="1" fillId="2" fontId="3" numFmtId="0" xfId="0" applyAlignment="1" applyBorder="1" applyFont="1">
      <alignment horizontal="center" wrapText="1"/>
    </xf>
    <xf borderId="0" fillId="0" fontId="4" numFmtId="0" xfId="0" applyFont="1"/>
    <xf borderId="2" fillId="2" fontId="3" numFmtId="0" xfId="0" applyAlignment="1" applyBorder="1" applyFont="1">
      <alignment horizontal="center" wrapText="1"/>
    </xf>
    <xf borderId="0" fillId="0" fontId="4" numFmtId="0" xfId="0" applyAlignment="1" applyFont="1">
      <alignment wrapText="1"/>
    </xf>
    <xf borderId="0" fillId="2" fontId="3" numFmtId="0" xfId="0" applyAlignment="1" applyFont="1">
      <alignment horizontal="center" wrapText="1"/>
    </xf>
    <xf borderId="0" fillId="0" fontId="6" numFmtId="0" xfId="0" applyAlignment="1" applyFont="1">
      <alignment/>
    </xf>
    <xf borderId="0" fillId="0" fontId="7" numFmtId="0" xfId="0" applyAlignment="1" applyFont="1">
      <alignment horizontal="center" wrapText="1"/>
    </xf>
    <xf borderId="0" fillId="0" fontId="4" numFmtId="164" xfId="0" applyAlignment="1" applyFont="1" applyNumberFormat="1">
      <alignment/>
    </xf>
    <xf borderId="0" fillId="0" fontId="7" numFmtId="0" xfId="0" applyAlignment="1" applyFont="1">
      <alignment/>
    </xf>
    <xf borderId="0" fillId="0" fontId="3" numFmtId="0" xfId="0" applyAlignment="1" applyFont="1">
      <alignment horizontal="center"/>
    </xf>
    <xf borderId="0" fillId="0" fontId="8" numFmtId="0" xfId="0" applyAlignment="1" applyFont="1">
      <alignment/>
    </xf>
    <xf borderId="0" fillId="3" fontId="3" numFmtId="0" xfId="0" applyAlignment="1" applyFill="1" applyFont="1">
      <alignment horizontal="center"/>
    </xf>
    <xf borderId="0" fillId="0" fontId="8" numFmtId="164" xfId="0" applyFont="1" applyNumberFormat="1"/>
    <xf borderId="0" fillId="3" fontId="9" numFmtId="164" xfId="0" applyAlignment="1" applyFont="1" applyNumberFormat="1">
      <alignment horizontal="center"/>
    </xf>
    <xf borderId="0" fillId="0" fontId="10" numFmtId="164" xfId="0" applyAlignment="1" applyFont="1" applyNumberFormat="1">
      <alignment/>
    </xf>
    <xf borderId="0" fillId="0" fontId="11" numFmtId="164" xfId="0" applyAlignment="1" applyFont="1" applyNumberFormat="1">
      <alignment/>
    </xf>
    <xf borderId="0" fillId="3" fontId="3" numFmtId="164" xfId="0" applyAlignment="1" applyFont="1" applyNumberFormat="1">
      <alignment horizontal="center"/>
    </xf>
    <xf borderId="0" fillId="3" fontId="9" numFmtId="164" xfId="0" applyAlignment="1" applyFont="1" applyNumberFormat="1">
      <alignment horizontal="center"/>
    </xf>
    <xf borderId="0" fillId="0" fontId="11" numFmtId="0" xfId="0" applyAlignment="1" applyFont="1">
      <alignment/>
    </xf>
    <xf borderId="0" fillId="3" fontId="7" numFmtId="164" xfId="0" applyAlignment="1" applyFont="1" applyNumberFormat="1">
      <alignment horizontal="center"/>
    </xf>
    <xf borderId="0" fillId="3" fontId="12" numFmtId="164" xfId="0" applyAlignment="1" applyFont="1" applyNumberFormat="1">
      <alignment horizontal="center"/>
    </xf>
    <xf borderId="0" fillId="3" fontId="12" numFmtId="164" xfId="0" applyAlignment="1" applyFont="1" applyNumberFormat="1">
      <alignment horizontal="center"/>
    </xf>
    <xf borderId="0" fillId="0" fontId="12" numFmtId="0" xfId="0" applyFont="1"/>
    <xf borderId="0" fillId="0" fontId="7" numFmtId="0" xfId="0" applyFont="1"/>
    <xf borderId="3" fillId="0" fontId="3" numFmtId="0" xfId="0" applyAlignment="1" applyBorder="1" applyFont="1">
      <alignment horizontal="center"/>
    </xf>
    <xf borderId="3" fillId="0" fontId="3" numFmtId="165" xfId="0" applyAlignment="1" applyBorder="1" applyFont="1" applyNumberFormat="1">
      <alignment horizontal="center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0" fontId="3" numFmtId="164" xfId="0" applyAlignment="1" applyBorder="1" applyFont="1" applyNumberFormat="1">
      <alignment horizontal="center"/>
    </xf>
    <xf borderId="0" fillId="0" fontId="9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9" numFmtId="164" xfId="0" applyAlignment="1" applyFont="1" applyNumberFormat="1">
      <alignment horizontal="center"/>
    </xf>
    <xf borderId="0" fillId="4" fontId="9" numFmtId="164" xfId="0" applyAlignment="1" applyFill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7" numFmtId="164" xfId="0" applyAlignment="1" applyFont="1" applyNumberFormat="1">
      <alignment horizontal="center"/>
    </xf>
    <xf borderId="0" fillId="4" fontId="3" numFmtId="164" xfId="0" applyAlignment="1" applyFont="1" applyNumberFormat="1">
      <alignment horizontal="center"/>
    </xf>
    <xf borderId="0" fillId="4" fontId="3" numFmtId="164" xfId="0" applyAlignment="1" applyFont="1" applyNumberFormat="1">
      <alignment horizontal="center"/>
    </xf>
    <xf borderId="0" fillId="4" fontId="3" numFmtId="0" xfId="0" applyFont="1"/>
    <xf borderId="6" fillId="0" fontId="3" numFmtId="0" xfId="0" applyAlignment="1" applyBorder="1" applyFont="1">
      <alignment horizontal="center"/>
    </xf>
    <xf borderId="6" fillId="0" fontId="3" numFmtId="165" xfId="0" applyAlignment="1" applyBorder="1" applyFont="1" applyNumberFormat="1">
      <alignment horizontal="center"/>
    </xf>
    <xf borderId="7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8" fillId="0" fontId="3" numFmtId="164" xfId="0" applyAlignment="1" applyBorder="1" applyFont="1" applyNumberFormat="1">
      <alignment horizontal="center"/>
    </xf>
    <xf borderId="0" fillId="0" fontId="9" numFmtId="164" xfId="0" applyAlignment="1" applyFont="1" applyNumberFormat="1">
      <alignment horizontal="center"/>
    </xf>
    <xf borderId="0" fillId="0" fontId="13" numFmtId="164" xfId="0" applyAlignment="1" applyFont="1" applyNumberFormat="1">
      <alignment horizontal="center"/>
    </xf>
    <xf borderId="0" fillId="0" fontId="14" numFmtId="164" xfId="0" applyAlignment="1" applyFont="1" applyNumberFormat="1">
      <alignment horizontal="center"/>
    </xf>
    <xf borderId="0" fillId="0" fontId="15" numFmtId="0" xfId="0" applyAlignment="1" applyFont="1">
      <alignment/>
    </xf>
    <xf borderId="6" fillId="0" fontId="3" numFmtId="0" xfId="0" applyAlignment="1" applyBorder="1" applyFont="1">
      <alignment horizontal="center"/>
    </xf>
    <xf borderId="0" fillId="3" fontId="3" numFmtId="164" xfId="0" applyAlignment="1" applyFont="1" applyNumberFormat="1">
      <alignment horizontal="center"/>
    </xf>
    <xf borderId="0" fillId="3" fontId="16" numFmtId="164" xfId="0" applyAlignment="1" applyFont="1" applyNumberFormat="1">
      <alignment horizontal="center"/>
    </xf>
    <xf borderId="0" fillId="3" fontId="14" numFmtId="164" xfId="0" applyAlignment="1" applyFont="1" applyNumberFormat="1">
      <alignment horizontal="center"/>
    </xf>
    <xf borderId="0" fillId="3" fontId="3" numFmtId="164" xfId="0" applyAlignment="1" applyFont="1" applyNumberFormat="1">
      <alignment horizontal="center"/>
    </xf>
    <xf borderId="0" fillId="3" fontId="7" numFmtId="0" xfId="0" applyAlignment="1" applyFont="1">
      <alignment/>
    </xf>
    <xf borderId="0" fillId="0" fontId="3" numFmtId="165" xfId="0" applyAlignment="1" applyFont="1" applyNumberFormat="1">
      <alignment horizontal="center"/>
    </xf>
    <xf borderId="0" fillId="5" fontId="7" numFmtId="0" xfId="0" applyAlignment="1" applyFill="1" applyFont="1">
      <alignment/>
    </xf>
    <xf borderId="0" fillId="0" fontId="16" numFmtId="164" xfId="0" applyAlignment="1" applyFont="1" applyNumberFormat="1">
      <alignment horizontal="center"/>
    </xf>
    <xf borderId="0" fillId="0" fontId="17" numFmtId="0" xfId="0" applyAlignment="1" applyFont="1">
      <alignment/>
    </xf>
    <xf borderId="0" fillId="0" fontId="18" numFmtId="164" xfId="0" applyAlignment="1" applyFont="1" applyNumberFormat="1">
      <alignment/>
    </xf>
    <xf borderId="0" fillId="0" fontId="17" numFmtId="0" xfId="0" applyFont="1"/>
    <xf borderId="0" fillId="0" fontId="18" numFmtId="0" xfId="0" applyAlignment="1" applyFont="1">
      <alignment/>
    </xf>
    <xf borderId="0" fillId="0" fontId="18" numFmtId="164" xfId="0" applyFont="1" applyNumberFormat="1"/>
    <xf borderId="0" fillId="0" fontId="11" numFmtId="164" xfId="0" applyFont="1" applyNumberFormat="1"/>
    <xf borderId="0" fillId="0" fontId="18" numFmtId="0" xfId="0" applyFont="1"/>
    <xf borderId="0" fillId="0" fontId="3" numFmtId="164" xfId="0" applyAlignment="1" applyFont="1" applyNumberFormat="1">
      <alignment horizontal="center"/>
    </xf>
    <xf borderId="0" fillId="0" fontId="19" numFmtId="0" xfId="0" applyAlignment="1" applyFont="1">
      <alignment/>
    </xf>
    <xf borderId="0" fillId="3" fontId="3" numFmtId="164" xfId="0" applyAlignment="1" applyFont="1" applyNumberFormat="1">
      <alignment horizontal="center"/>
    </xf>
    <xf borderId="0" fillId="0" fontId="19" numFmtId="164" xfId="0" applyFont="1" applyNumberFormat="1"/>
    <xf borderId="0" fillId="0" fontId="19" numFmtId="0" xfId="0" applyFont="1"/>
    <xf borderId="0" fillId="5" fontId="3" numFmtId="0" xfId="0" applyAlignment="1" applyFont="1">
      <alignment horizontal="center"/>
    </xf>
    <xf borderId="0" fillId="5" fontId="9" numFmtId="164" xfId="0" applyAlignment="1" applyFont="1" applyNumberFormat="1">
      <alignment horizontal="center"/>
    </xf>
    <xf borderId="0" fillId="5" fontId="9" numFmtId="164" xfId="0" applyAlignment="1" applyFont="1" applyNumberFormat="1">
      <alignment horizontal="center"/>
    </xf>
    <xf borderId="0" fillId="5" fontId="3" numFmtId="164" xfId="0" applyAlignment="1" applyFont="1" applyNumberFormat="1">
      <alignment horizontal="center"/>
    </xf>
    <xf borderId="0" fillId="5" fontId="9" numFmtId="164" xfId="0" applyAlignment="1" applyFont="1" applyNumberFormat="1">
      <alignment horizontal="center"/>
    </xf>
    <xf borderId="0" fillId="5" fontId="9" numFmtId="164" xfId="0" applyAlignment="1" applyFont="1" applyNumberFormat="1">
      <alignment horizontal="center"/>
    </xf>
    <xf borderId="0" fillId="5" fontId="3" numFmtId="164" xfId="0" applyAlignment="1" applyFont="1" applyNumberFormat="1">
      <alignment horizontal="center"/>
    </xf>
    <xf borderId="0" fillId="5" fontId="14" numFmtId="164" xfId="0" applyAlignment="1" applyFont="1" applyNumberFormat="1">
      <alignment horizontal="center"/>
    </xf>
    <xf borderId="0" fillId="5" fontId="3" numFmtId="164" xfId="0" applyAlignment="1" applyFont="1" applyNumberFormat="1">
      <alignment horizontal="center"/>
    </xf>
    <xf borderId="8" fillId="0" fontId="3" numFmtId="165" xfId="0" applyAlignment="1" applyBorder="1" applyFont="1" applyNumberFormat="1">
      <alignment horizontal="center"/>
    </xf>
    <xf borderId="2" fillId="0" fontId="3" numFmtId="0" xfId="0" applyAlignment="1" applyBorder="1" applyFont="1">
      <alignment horizontal="center"/>
    </xf>
    <xf borderId="0" fillId="0" fontId="12" numFmtId="164" xfId="0" applyAlignment="1" applyFont="1" applyNumberFormat="1">
      <alignment horizontal="center"/>
    </xf>
    <xf borderId="1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2" fillId="0" fontId="3" numFmtId="164" xfId="0" applyAlignment="1" applyBorder="1" applyFont="1" applyNumberFormat="1">
      <alignment horizontal="center"/>
    </xf>
    <xf borderId="0" fillId="0" fontId="12" numFmtId="164" xfId="0" applyAlignment="1" applyFont="1" applyNumberFormat="1">
      <alignment horizontal="center"/>
    </xf>
    <xf borderId="7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8" fillId="3" fontId="9" numFmtId="164" xfId="0" applyAlignment="1" applyBorder="1" applyFont="1" applyNumberFormat="1">
      <alignment horizontal="center"/>
    </xf>
    <xf borderId="0" fillId="3" fontId="3" numFmtId="164" xfId="0" applyFont="1" applyNumberFormat="1"/>
    <xf borderId="8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0" fillId="0" fontId="7" numFmtId="164" xfId="0" applyFont="1" applyNumberFormat="1"/>
    <xf borderId="0" fillId="4" fontId="16" numFmtId="164" xfId="0" applyAlignment="1" applyFont="1" applyNumberFormat="1">
      <alignment horizontal="center"/>
    </xf>
    <xf borderId="0" fillId="0" fontId="20" numFmtId="164" xfId="0" applyFont="1" applyNumberFormat="1"/>
    <xf borderId="0" fillId="0" fontId="20" numFmtId="0" xfId="0" applyFont="1"/>
    <xf borderId="0" fillId="0" fontId="7" numFmtId="164" xfId="0" applyAlignment="1" applyFont="1" applyNumberFormat="1">
      <alignment horizontal="center"/>
    </xf>
    <xf borderId="0" fillId="0" fontId="21" numFmtId="164" xfId="0" applyFont="1" applyNumberFormat="1"/>
    <xf borderId="12" fillId="0" fontId="3" numFmtId="0" xfId="0" applyAlignment="1" applyBorder="1" applyFont="1">
      <alignment horizontal="center"/>
    </xf>
    <xf borderId="0" fillId="3" fontId="22" numFmtId="164" xfId="0" applyAlignment="1" applyFont="1" applyNumberFormat="1">
      <alignment horizontal="center"/>
    </xf>
    <xf borderId="0" fillId="4" fontId="9" numFmtId="164" xfId="0" applyAlignment="1" applyFont="1" applyNumberFormat="1">
      <alignment horizontal="center"/>
    </xf>
    <xf borderId="0" fillId="0" fontId="13" numFmtId="164" xfId="0" applyAlignment="1" applyFont="1" applyNumberFormat="1">
      <alignment horizontal="center"/>
    </xf>
    <xf borderId="2" fillId="0" fontId="3" numFmtId="165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/>
    </xf>
    <xf borderId="0" fillId="0" fontId="23" numFmtId="0" xfId="0" applyFont="1"/>
    <xf borderId="0" fillId="0" fontId="11" numFmtId="0" xfId="0" applyAlignment="1" applyFont="1">
      <alignment horizontal="center"/>
    </xf>
    <xf borderId="0" fillId="0" fontId="24" numFmtId="164" xfId="0" applyAlignment="1" applyFont="1" applyNumberFormat="1">
      <alignment horizontal="center"/>
    </xf>
    <xf borderId="0" fillId="0" fontId="11" numFmtId="0" xfId="0" applyAlignment="1" applyFont="1">
      <alignment wrapText="1"/>
    </xf>
    <xf borderId="0" fillId="0" fontId="7" numFmtId="0" xfId="0" applyAlignment="1" applyFont="1">
      <alignment wrapText="1"/>
    </xf>
    <xf borderId="0" fillId="0" fontId="15" numFmtId="164" xfId="0" applyFont="1" applyNumberFormat="1"/>
    <xf borderId="0" fillId="0" fontId="21" numFmtId="164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5.71"/>
    <col customWidth="1" min="2" max="2" width="9.86"/>
    <col customWidth="1" min="3" max="3" width="25.0"/>
    <col customWidth="1" min="5" max="5" width="10.0"/>
    <col customWidth="1" min="6" max="6" width="81.43"/>
    <col customWidth="1" min="7" max="7" width="23.43"/>
    <col customWidth="1" min="8" max="8" width="9.0"/>
    <col customWidth="1" min="9" max="9" width="22.57"/>
    <col customWidth="1" min="10" max="10" width="10.57"/>
    <col customWidth="1" min="11" max="12" width="10.29"/>
    <col customWidth="1" min="13" max="13" width="10.71"/>
    <col customWidth="1" min="14" max="14" width="11.57"/>
    <col customWidth="1" min="15" max="15" width="10.0"/>
    <col customWidth="1" min="16" max="18" width="10.86"/>
    <col customWidth="1" min="19" max="19" width="11.29"/>
    <col customWidth="1" min="20" max="20" width="10.57"/>
    <col customWidth="1" min="26" max="26" width="7.57"/>
    <col customWidth="1" min="27" max="27" width="41.0"/>
  </cols>
  <sheetData>
    <row r="1">
      <c r="A1" s="3" t="s">
        <v>1</v>
      </c>
      <c r="B1" s="5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6" t="s">
        <v>11</v>
      </c>
      <c r="K1" s="6" t="s">
        <v>12</v>
      </c>
      <c r="L1" s="7" t="s">
        <v>13</v>
      </c>
      <c r="M1" s="9" t="s">
        <v>14</v>
      </c>
      <c r="N1" s="11" t="s">
        <v>15</v>
      </c>
      <c r="O1" s="11" t="s">
        <v>17</v>
      </c>
      <c r="P1" s="13" t="s">
        <v>18</v>
      </c>
      <c r="Q1" s="5" t="s">
        <v>19</v>
      </c>
      <c r="R1" s="5" t="s">
        <v>20</v>
      </c>
      <c r="S1" s="11" t="s">
        <v>21</v>
      </c>
      <c r="T1" s="11" t="s">
        <v>22</v>
      </c>
      <c r="U1" s="15" t="s">
        <v>24</v>
      </c>
      <c r="V1" s="15" t="s">
        <v>25</v>
      </c>
      <c r="W1" s="15" t="s">
        <v>26</v>
      </c>
      <c r="X1" s="15" t="s">
        <v>27</v>
      </c>
      <c r="Y1" s="15" t="s">
        <v>29</v>
      </c>
      <c r="Z1" s="15"/>
      <c r="AA1" s="17" t="s">
        <v>30</v>
      </c>
    </row>
    <row r="2">
      <c r="A2" s="18"/>
      <c r="B2" s="18"/>
      <c r="C2" s="3" t="s">
        <v>32</v>
      </c>
      <c r="D2" s="18"/>
      <c r="E2" s="3" t="s">
        <v>33</v>
      </c>
      <c r="F2" s="3" t="s">
        <v>34</v>
      </c>
      <c r="G2" s="20" t="s">
        <v>35</v>
      </c>
      <c r="H2" s="20">
        <v>1.0</v>
      </c>
      <c r="I2" s="20" t="s">
        <v>36</v>
      </c>
      <c r="J2" s="22">
        <v>25.0</v>
      </c>
      <c r="K2" s="22">
        <f>O2+P2+N2</f>
        <v>32.03</v>
      </c>
      <c r="L2" s="25" t="s">
        <v>39</v>
      </c>
      <c r="M2" s="25">
        <v>3.05</v>
      </c>
      <c r="N2" s="26">
        <f>SUM(H2:H67*M2:M67)</f>
        <v>3.05</v>
      </c>
      <c r="O2" s="22">
        <v>27.98</v>
      </c>
      <c r="P2" s="25">
        <v>1.0</v>
      </c>
      <c r="Q2" s="25">
        <f>(K2*4)</f>
        <v>128.12</v>
      </c>
      <c r="R2" s="22">
        <f>J2*4</f>
        <v>100</v>
      </c>
      <c r="S2" s="22" t="s">
        <v>39</v>
      </c>
      <c r="T2" s="22">
        <v>11.0</v>
      </c>
      <c r="U2" s="28">
        <f>(Q2-R2)</f>
        <v>28.12</v>
      </c>
      <c r="V2" s="28">
        <v>25.0</v>
      </c>
      <c r="W2" s="28">
        <f>V2*4</f>
        <v>100</v>
      </c>
      <c r="X2" s="29">
        <f>Q2:Q67-W2:W67</f>
        <v>28.12</v>
      </c>
      <c r="Y2" s="30"/>
      <c r="Z2" s="31"/>
      <c r="AA2" s="32"/>
    </row>
    <row r="3">
      <c r="A3" s="33" t="s">
        <v>43</v>
      </c>
      <c r="B3" s="34">
        <v>41554.0</v>
      </c>
      <c r="C3" s="33" t="s">
        <v>44</v>
      </c>
      <c r="D3" s="33" t="s">
        <v>45</v>
      </c>
      <c r="E3" s="33">
        <v>568214.0</v>
      </c>
      <c r="F3" s="35" t="s">
        <v>46</v>
      </c>
      <c r="G3" s="36" t="s">
        <v>47</v>
      </c>
      <c r="H3" s="3">
        <v>1.0</v>
      </c>
      <c r="I3" s="3" t="s">
        <v>48</v>
      </c>
      <c r="J3" s="37">
        <v>25.0</v>
      </c>
      <c r="K3" s="38">
        <f>SUM(N3:N67+O3:O67+P3:P67)</f>
        <v>32.03</v>
      </c>
      <c r="L3" s="39" t="s">
        <v>39</v>
      </c>
      <c r="M3" s="40">
        <v>3.05</v>
      </c>
      <c r="N3" s="41">
        <f>SUM(H2:H67*M2:M67)</f>
        <v>3.05</v>
      </c>
      <c r="O3" s="40">
        <v>27.98</v>
      </c>
      <c r="P3" s="40">
        <v>1.0</v>
      </c>
      <c r="Q3" s="38">
        <f t="shared" ref="Q3:Q4" si="1">(K3:K4*2)</f>
        <v>64.06</v>
      </c>
      <c r="R3" s="42">
        <f t="shared" ref="R3:R4" si="2">J3*2</f>
        <v>50</v>
      </c>
      <c r="S3" s="40" t="s">
        <v>39</v>
      </c>
      <c r="T3" s="40">
        <v>11.0</v>
      </c>
      <c r="U3" s="43">
        <f>Q3-R3</f>
        <v>14.06</v>
      </c>
      <c r="V3" s="43">
        <v>25.0</v>
      </c>
      <c r="W3" s="43">
        <f>V3:V4*2</f>
        <v>50</v>
      </c>
      <c r="X3" s="44" t="s">
        <v>49</v>
      </c>
      <c r="Y3" s="45">
        <f>R2:R67-W2:W67</f>
        <v>0</v>
      </c>
      <c r="Z3" s="46"/>
      <c r="AA3" s="32"/>
    </row>
    <row r="4">
      <c r="A4" s="47" t="s">
        <v>50</v>
      </c>
      <c r="B4" s="48">
        <v>41540.0</v>
      </c>
      <c r="C4" s="47" t="s">
        <v>51</v>
      </c>
      <c r="D4" s="47" t="s">
        <v>52</v>
      </c>
      <c r="E4" s="47">
        <v>594953.0</v>
      </c>
      <c r="F4" s="49" t="s">
        <v>53</v>
      </c>
      <c r="G4" s="50" t="s">
        <v>54</v>
      </c>
      <c r="H4" s="3">
        <v>1.0</v>
      </c>
      <c r="I4" s="3" t="s">
        <v>48</v>
      </c>
      <c r="J4" s="51">
        <v>40.0</v>
      </c>
      <c r="K4" s="41">
        <f>SUM(N3:N67+O3:O67+P3:P67)</f>
        <v>32.03</v>
      </c>
      <c r="L4" s="52">
        <f>SUM(S4:S8+T4:T8)</f>
        <v>67.63</v>
      </c>
      <c r="M4" s="40">
        <v>4.09</v>
      </c>
      <c r="N4" s="41">
        <f>SUM(H2:H67*M2:M67)</f>
        <v>4.09</v>
      </c>
      <c r="O4" s="40">
        <v>26.94</v>
      </c>
      <c r="P4" s="40">
        <v>1.0</v>
      </c>
      <c r="Q4" s="38">
        <f t="shared" si="1"/>
        <v>64.06</v>
      </c>
      <c r="R4" s="42">
        <f t="shared" si="2"/>
        <v>80</v>
      </c>
      <c r="S4" s="40">
        <v>56.63</v>
      </c>
      <c r="T4" s="40">
        <v>11.0</v>
      </c>
      <c r="U4" s="53">
        <f>Q4:Q8-R4:R8</f>
        <v>-15.94</v>
      </c>
      <c r="V4" s="54">
        <v>32.03</v>
      </c>
      <c r="W4" s="45">
        <f>V3:V4*2</f>
        <v>64.06</v>
      </c>
      <c r="X4" s="44" t="s">
        <v>49</v>
      </c>
      <c r="Y4" s="45">
        <f>R2:R67-W2:W67</f>
        <v>15.94</v>
      </c>
      <c r="Z4" s="46"/>
      <c r="AA4" s="55" t="s">
        <v>55</v>
      </c>
    </row>
    <row r="5">
      <c r="A5" s="56"/>
      <c r="B5" s="56"/>
      <c r="C5" s="3" t="s">
        <v>56</v>
      </c>
      <c r="D5" s="18"/>
      <c r="E5" s="3" t="s">
        <v>57</v>
      </c>
      <c r="F5" s="3" t="s">
        <v>58</v>
      </c>
      <c r="G5" s="20" t="s">
        <v>59</v>
      </c>
      <c r="H5" s="20">
        <v>1.0</v>
      </c>
      <c r="I5" s="20" t="s">
        <v>48</v>
      </c>
      <c r="J5" s="22">
        <v>40.0</v>
      </c>
      <c r="K5" s="57">
        <f>SUM(N3:N67+O3:O67+P3:P67)</f>
        <v>32.03</v>
      </c>
      <c r="L5" s="26">
        <f>SUM(S4:S8+T4:T8)</f>
        <v>67.63</v>
      </c>
      <c r="M5" s="25">
        <v>4.09</v>
      </c>
      <c r="N5" s="25">
        <v>4.09</v>
      </c>
      <c r="O5" s="25">
        <v>26.94</v>
      </c>
      <c r="P5" s="25">
        <v>1.0</v>
      </c>
      <c r="Q5" s="25">
        <f t="shared" ref="Q5:Q8" si="3">(K5:K8*2)</f>
        <v>64.06</v>
      </c>
      <c r="R5" s="22">
        <f>(J5:J8*2)</f>
        <v>80</v>
      </c>
      <c r="S5" s="22">
        <v>56.63</v>
      </c>
      <c r="T5" s="22">
        <v>11.0</v>
      </c>
      <c r="U5" s="58">
        <f>Q4:Q8-R4:R8</f>
        <v>-15.94</v>
      </c>
      <c r="V5" s="59">
        <v>32.03</v>
      </c>
      <c r="W5" s="59">
        <f>V5:V8*2</f>
        <v>64.06</v>
      </c>
      <c r="X5" s="57">
        <f>Q2:Q67-W2:W67</f>
        <v>0</v>
      </c>
      <c r="Y5" s="60" t="s">
        <v>49</v>
      </c>
      <c r="Z5" s="46"/>
      <c r="AA5" s="17" t="s">
        <v>60</v>
      </c>
    </row>
    <row r="6">
      <c r="A6" s="56"/>
      <c r="B6" s="56"/>
      <c r="C6" s="3" t="s">
        <v>61</v>
      </c>
      <c r="D6" s="18"/>
      <c r="E6" s="3" t="s">
        <v>62</v>
      </c>
      <c r="F6" s="3" t="s">
        <v>63</v>
      </c>
      <c r="G6" s="20" t="s">
        <v>59</v>
      </c>
      <c r="H6" s="20">
        <v>1.0</v>
      </c>
      <c r="I6" s="20" t="s">
        <v>48</v>
      </c>
      <c r="J6" s="22">
        <v>40.0</v>
      </c>
      <c r="K6" s="57">
        <f>SUM(N3:N67+O3:O67+P3:P67)</f>
        <v>32.03</v>
      </c>
      <c r="L6" s="26">
        <f>SUM(S4:S8+T4:T8)</f>
        <v>67.63</v>
      </c>
      <c r="M6" s="25">
        <v>4.09</v>
      </c>
      <c r="N6" s="25">
        <v>4.09</v>
      </c>
      <c r="O6" s="25">
        <v>26.94</v>
      </c>
      <c r="P6" s="25">
        <v>1.0</v>
      </c>
      <c r="Q6" s="25">
        <f t="shared" si="3"/>
        <v>64.06</v>
      </c>
      <c r="R6" s="26">
        <f>(J5:J8*2)</f>
        <v>80</v>
      </c>
      <c r="S6" s="22">
        <v>56.63</v>
      </c>
      <c r="T6" s="22">
        <v>11.0</v>
      </c>
      <c r="U6" s="58">
        <f>Q4:Q8-R4:R8</f>
        <v>-15.94</v>
      </c>
      <c r="V6" s="59">
        <v>32.03</v>
      </c>
      <c r="W6" s="57">
        <f>V5:V8*2</f>
        <v>64.06</v>
      </c>
      <c r="X6" s="57">
        <f>Q2:Q67-W2:W67</f>
        <v>0</v>
      </c>
      <c r="Y6" s="60" t="s">
        <v>49</v>
      </c>
      <c r="Z6" s="46"/>
      <c r="AA6" s="17" t="s">
        <v>64</v>
      </c>
    </row>
    <row r="7">
      <c r="A7" s="56"/>
      <c r="B7" s="56"/>
      <c r="C7" s="3" t="s">
        <v>65</v>
      </c>
      <c r="D7" s="18"/>
      <c r="E7" s="3" t="s">
        <v>66</v>
      </c>
      <c r="F7" s="3" t="s">
        <v>67</v>
      </c>
      <c r="G7" s="20" t="s">
        <v>59</v>
      </c>
      <c r="H7" s="20">
        <v>1.0</v>
      </c>
      <c r="I7" s="20" t="s">
        <v>48</v>
      </c>
      <c r="J7" s="22">
        <v>40.0</v>
      </c>
      <c r="K7" s="57">
        <f>SUM(N3:N67+O3:O67+P3:P67)</f>
        <v>32.03</v>
      </c>
      <c r="L7" s="26">
        <f>SUM(S4:S8+T4:T8)</f>
        <v>67.63</v>
      </c>
      <c r="M7" s="25">
        <v>4.09</v>
      </c>
      <c r="N7" s="25">
        <v>4.09</v>
      </c>
      <c r="O7" s="25">
        <v>26.94</v>
      </c>
      <c r="P7" s="25">
        <v>1.0</v>
      </c>
      <c r="Q7" s="25">
        <f t="shared" si="3"/>
        <v>64.06</v>
      </c>
      <c r="R7" s="26">
        <f>(J5:J8*2)</f>
        <v>80</v>
      </c>
      <c r="S7" s="22">
        <v>56.63</v>
      </c>
      <c r="T7" s="22">
        <v>11.0</v>
      </c>
      <c r="U7" s="58">
        <f>Q4:Q8-R4:R8</f>
        <v>-15.94</v>
      </c>
      <c r="V7" s="59">
        <v>32.03</v>
      </c>
      <c r="W7" s="57">
        <f>V5:V8*2</f>
        <v>64.06</v>
      </c>
      <c r="X7" s="57">
        <f>W5:W8-Q5:Q8</f>
        <v>0</v>
      </c>
      <c r="Y7" s="60" t="s">
        <v>49</v>
      </c>
      <c r="Z7" s="46"/>
      <c r="AA7" s="17" t="s">
        <v>68</v>
      </c>
    </row>
    <row r="8">
      <c r="A8" s="56"/>
      <c r="B8" s="56"/>
      <c r="C8" s="3" t="s">
        <v>69</v>
      </c>
      <c r="D8" s="18"/>
      <c r="E8" s="3" t="s">
        <v>70</v>
      </c>
      <c r="F8" s="3" t="s">
        <v>71</v>
      </c>
      <c r="G8" s="20" t="s">
        <v>59</v>
      </c>
      <c r="H8" s="20">
        <v>1.0</v>
      </c>
      <c r="I8" s="20" t="s">
        <v>48</v>
      </c>
      <c r="J8" s="22">
        <v>40.0</v>
      </c>
      <c r="K8" s="57">
        <f>SUM(N3:N67+O3:O67+P3:P67)</f>
        <v>32.03</v>
      </c>
      <c r="L8" s="26">
        <f>SUM(S4:S8+T4:T8)</f>
        <v>67.63</v>
      </c>
      <c r="M8" s="25">
        <v>4.09</v>
      </c>
      <c r="N8" s="25">
        <v>4.09</v>
      </c>
      <c r="O8" s="25">
        <v>26.94</v>
      </c>
      <c r="P8" s="25">
        <v>1.0</v>
      </c>
      <c r="Q8" s="25">
        <f t="shared" si="3"/>
        <v>64.06</v>
      </c>
      <c r="R8" s="26">
        <f>(J5:J8*2)</f>
        <v>80</v>
      </c>
      <c r="S8" s="22">
        <v>56.63</v>
      </c>
      <c r="T8" s="22">
        <v>11.0</v>
      </c>
      <c r="U8" s="58">
        <f>Q4:Q8-R4:R8</f>
        <v>-15.94</v>
      </c>
      <c r="V8" s="59">
        <v>32.03</v>
      </c>
      <c r="W8" s="57">
        <f>V5:V8*2</f>
        <v>64.06</v>
      </c>
      <c r="X8" s="57">
        <f>W5:W8-Q5:Q8</f>
        <v>0</v>
      </c>
      <c r="Y8" s="60" t="s">
        <v>49</v>
      </c>
      <c r="Z8" s="46"/>
      <c r="AA8" s="61" t="s">
        <v>72</v>
      </c>
    </row>
    <row r="9">
      <c r="A9" s="3" t="s">
        <v>73</v>
      </c>
      <c r="B9" s="62">
        <v>38832.0</v>
      </c>
      <c r="C9" s="50" t="s">
        <v>74</v>
      </c>
      <c r="D9" s="3" t="s">
        <v>75</v>
      </c>
      <c r="E9" s="3" t="s">
        <v>76</v>
      </c>
      <c r="F9" s="3" t="s">
        <v>77</v>
      </c>
      <c r="G9" s="3" t="s">
        <v>47</v>
      </c>
      <c r="H9" s="3">
        <v>1.0</v>
      </c>
      <c r="I9" s="3" t="s">
        <v>78</v>
      </c>
      <c r="J9" s="39">
        <v>25.0</v>
      </c>
      <c r="K9" s="41">
        <f>SUM(N3:N67+O3:O67+P3:P67)</f>
        <v>32.03</v>
      </c>
      <c r="L9" s="39" t="s">
        <v>39</v>
      </c>
      <c r="M9" s="40">
        <v>3.05</v>
      </c>
      <c r="N9" s="41">
        <f>SUM(H2:H67*M2:M67)</f>
        <v>3.05</v>
      </c>
      <c r="O9" s="40">
        <v>27.98</v>
      </c>
      <c r="P9" s="40">
        <v>1.0</v>
      </c>
      <c r="Q9" s="38">
        <f t="shared" ref="Q9:Q14" si="4">(K9:K33*1)</f>
        <v>32.03</v>
      </c>
      <c r="R9" s="42">
        <f>J9:J33</f>
        <v>25</v>
      </c>
      <c r="S9" s="40" t="s">
        <v>39</v>
      </c>
      <c r="T9" s="40">
        <v>11.0</v>
      </c>
      <c r="U9" s="43">
        <f>Q9:Q62-R9:R62</f>
        <v>7.03</v>
      </c>
      <c r="V9" s="43">
        <v>25.0</v>
      </c>
      <c r="W9" s="43">
        <f>V9:V33</f>
        <v>25</v>
      </c>
      <c r="X9" s="44" t="s">
        <v>49</v>
      </c>
      <c r="Y9" s="45">
        <f>R2:R67-W2:W67</f>
        <v>0</v>
      </c>
      <c r="Z9" s="46"/>
      <c r="AA9" s="63" t="s">
        <v>79</v>
      </c>
    </row>
    <row r="10">
      <c r="A10" s="3" t="s">
        <v>80</v>
      </c>
      <c r="B10" s="62">
        <v>38874.0</v>
      </c>
      <c r="C10" s="3" t="s">
        <v>81</v>
      </c>
      <c r="D10" s="3" t="s">
        <v>82</v>
      </c>
      <c r="E10" s="3" t="s">
        <v>76</v>
      </c>
      <c r="F10" s="3" t="s">
        <v>83</v>
      </c>
      <c r="G10" s="3" t="s">
        <v>84</v>
      </c>
      <c r="H10" s="3">
        <v>2.0</v>
      </c>
      <c r="I10" s="3" t="s">
        <v>78</v>
      </c>
      <c r="J10" s="39">
        <v>50.0</v>
      </c>
      <c r="K10" s="41">
        <f>SUM(N3:N67+O3:O67+P3:P67)</f>
        <v>35.08</v>
      </c>
      <c r="L10" s="39" t="s">
        <v>39</v>
      </c>
      <c r="M10" s="40">
        <v>3.05</v>
      </c>
      <c r="N10" s="41">
        <f>SUM(H2:H67*M2:M67)</f>
        <v>6.1</v>
      </c>
      <c r="O10" s="40">
        <v>27.98</v>
      </c>
      <c r="P10" s="40">
        <v>1.0</v>
      </c>
      <c r="Q10" s="38">
        <f t="shared" si="4"/>
        <v>35.08</v>
      </c>
      <c r="R10" s="45">
        <f>J9:J33</f>
        <v>50</v>
      </c>
      <c r="S10" s="40" t="s">
        <v>39</v>
      </c>
      <c r="T10" s="40">
        <v>11.0</v>
      </c>
      <c r="U10" s="64">
        <f>Q9:Q62-R9:R62</f>
        <v>-14.92</v>
      </c>
      <c r="V10" s="43">
        <v>25.0</v>
      </c>
      <c r="W10" s="45">
        <f>V9:V33</f>
        <v>25</v>
      </c>
      <c r="X10" s="44" t="s">
        <v>49</v>
      </c>
      <c r="Y10" s="45">
        <f>R2:R67-W2:W67</f>
        <v>25</v>
      </c>
      <c r="Z10" s="46"/>
      <c r="AA10" s="17" t="s">
        <v>85</v>
      </c>
    </row>
    <row r="11">
      <c r="A11" s="3" t="s">
        <v>86</v>
      </c>
      <c r="B11" s="62">
        <v>38968.0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47</v>
      </c>
      <c r="H11" s="3">
        <v>1.0</v>
      </c>
      <c r="I11" s="3" t="s">
        <v>78</v>
      </c>
      <c r="J11" s="39">
        <v>25.0</v>
      </c>
      <c r="K11" s="41">
        <f>SUM(N3:N67+O3:O67+P3:P67)</f>
        <v>32.03</v>
      </c>
      <c r="L11" s="39" t="s">
        <v>39</v>
      </c>
      <c r="M11" s="40">
        <v>3.05</v>
      </c>
      <c r="N11" s="41">
        <f>SUM(H2:H67*M2:M67)</f>
        <v>3.05</v>
      </c>
      <c r="O11" s="40">
        <v>27.98</v>
      </c>
      <c r="P11" s="40">
        <v>1.0</v>
      </c>
      <c r="Q11" s="38">
        <f t="shared" si="4"/>
        <v>32.03</v>
      </c>
      <c r="R11" s="45">
        <f>J9:J33</f>
        <v>25</v>
      </c>
      <c r="S11" s="40" t="s">
        <v>39</v>
      </c>
      <c r="T11" s="40">
        <v>11.0</v>
      </c>
      <c r="U11" s="45">
        <f>Q9:Q62-R9:R62</f>
        <v>7.03</v>
      </c>
      <c r="V11" s="43">
        <v>25.0</v>
      </c>
      <c r="W11" s="45">
        <f>V9:V33</f>
        <v>25</v>
      </c>
      <c r="X11" s="44" t="s">
        <v>49</v>
      </c>
      <c r="Y11" s="45">
        <f>R2:R67-W2:W67</f>
        <v>0</v>
      </c>
      <c r="Z11" s="46"/>
      <c r="AA11" s="17" t="s">
        <v>91</v>
      </c>
    </row>
    <row r="12">
      <c r="A12" s="3" t="s">
        <v>92</v>
      </c>
      <c r="B12" s="62">
        <v>42236.0</v>
      </c>
      <c r="C12" s="3" t="s">
        <v>93</v>
      </c>
      <c r="D12" s="3" t="s">
        <v>94</v>
      </c>
      <c r="E12" s="3">
        <v>557932.0</v>
      </c>
      <c r="F12" s="3" t="s">
        <v>95</v>
      </c>
      <c r="G12" s="3" t="s">
        <v>47</v>
      </c>
      <c r="H12" s="3">
        <v>1.0</v>
      </c>
      <c r="I12" s="3" t="s">
        <v>78</v>
      </c>
      <c r="J12" s="39">
        <v>25.0</v>
      </c>
      <c r="K12" s="41">
        <f>SUM(N3:N67+O3:O67+P3:P67)</f>
        <v>32.03</v>
      </c>
      <c r="L12" s="39" t="s">
        <v>39</v>
      </c>
      <c r="M12" s="40">
        <v>3.05</v>
      </c>
      <c r="N12" s="41">
        <f>SUM(H2:H67*M2:M67)</f>
        <v>3.05</v>
      </c>
      <c r="O12" s="40">
        <v>27.98</v>
      </c>
      <c r="P12" s="40">
        <v>1.0</v>
      </c>
      <c r="Q12" s="38">
        <f t="shared" si="4"/>
        <v>32.03</v>
      </c>
      <c r="R12" s="45">
        <f>J9:J33</f>
        <v>25</v>
      </c>
      <c r="S12" s="40" t="s">
        <v>39</v>
      </c>
      <c r="T12" s="40">
        <v>11.0</v>
      </c>
      <c r="U12" s="45">
        <f>Q9:Q62-R9:R62</f>
        <v>7.03</v>
      </c>
      <c r="V12" s="43">
        <v>25.0</v>
      </c>
      <c r="W12" s="45">
        <f>V9:V33</f>
        <v>25</v>
      </c>
      <c r="X12" s="44" t="s">
        <v>49</v>
      </c>
      <c r="Y12" s="45">
        <f>R2:R67-W2:W67</f>
        <v>0</v>
      </c>
      <c r="Z12" s="46"/>
      <c r="AA12" s="17" t="s">
        <v>96</v>
      </c>
    </row>
    <row r="13">
      <c r="A13" s="3" t="s">
        <v>97</v>
      </c>
      <c r="B13" s="62">
        <v>41731.0</v>
      </c>
      <c r="C13" s="3" t="s">
        <v>98</v>
      </c>
      <c r="D13" s="3" t="s">
        <v>99</v>
      </c>
      <c r="E13" s="3">
        <v>591349.0</v>
      </c>
      <c r="F13" s="3" t="s">
        <v>100</v>
      </c>
      <c r="G13" s="3" t="s">
        <v>47</v>
      </c>
      <c r="H13" s="3">
        <v>1.0</v>
      </c>
      <c r="I13" s="3" t="s">
        <v>78</v>
      </c>
      <c r="J13" s="39">
        <v>25.0</v>
      </c>
      <c r="K13" s="41">
        <f>SUM(N3:N67+O3:O67+P3:P67)</f>
        <v>32.03</v>
      </c>
      <c r="L13" s="39" t="s">
        <v>39</v>
      </c>
      <c r="M13" s="40">
        <v>3.05</v>
      </c>
      <c r="N13" s="41">
        <f>SUM(H2:H67*M2:M67)</f>
        <v>3.05</v>
      </c>
      <c r="O13" s="40">
        <v>27.98</v>
      </c>
      <c r="P13" s="40">
        <v>1.0</v>
      </c>
      <c r="Q13" s="38">
        <f t="shared" si="4"/>
        <v>32.03</v>
      </c>
      <c r="R13" s="45">
        <f>J9:J33</f>
        <v>25</v>
      </c>
      <c r="S13" s="40" t="s">
        <v>39</v>
      </c>
      <c r="T13" s="40">
        <v>11.0</v>
      </c>
      <c r="U13" s="45">
        <f>Q9:Q62-R9:R62</f>
        <v>7.03</v>
      </c>
      <c r="V13" s="43">
        <v>25.0</v>
      </c>
      <c r="W13" s="45">
        <f>V9:V33</f>
        <v>25</v>
      </c>
      <c r="X13" s="44" t="s">
        <v>49</v>
      </c>
      <c r="Y13" s="45">
        <f>R2:R67-W2:W67</f>
        <v>0</v>
      </c>
      <c r="Z13" s="46"/>
      <c r="AA13" s="32"/>
    </row>
    <row r="14">
      <c r="A14" s="3" t="s">
        <v>101</v>
      </c>
      <c r="B14" s="62">
        <v>39273.0</v>
      </c>
      <c r="C14" s="3" t="s">
        <v>102</v>
      </c>
      <c r="D14" s="3" t="s">
        <v>103</v>
      </c>
      <c r="E14" s="3" t="s">
        <v>76</v>
      </c>
      <c r="F14" s="3" t="s">
        <v>104</v>
      </c>
      <c r="G14" s="3" t="s">
        <v>105</v>
      </c>
      <c r="H14" s="3">
        <v>3.0</v>
      </c>
      <c r="I14" s="3" t="s">
        <v>78</v>
      </c>
      <c r="J14" s="39">
        <v>75.0</v>
      </c>
      <c r="K14" s="41">
        <f>SUM(N3:N67+O3:O67+P3:P67)</f>
        <v>38.13</v>
      </c>
      <c r="L14" s="39" t="s">
        <v>39</v>
      </c>
      <c r="M14" s="40">
        <v>3.05</v>
      </c>
      <c r="N14" s="41">
        <f>SUM(H2:H67*M2:M67)</f>
        <v>9.15</v>
      </c>
      <c r="O14" s="40">
        <v>27.98</v>
      </c>
      <c r="P14" s="40">
        <v>1.0</v>
      </c>
      <c r="Q14" s="38">
        <f t="shared" si="4"/>
        <v>38.13</v>
      </c>
      <c r="R14" s="45">
        <f>J9:J33</f>
        <v>75</v>
      </c>
      <c r="S14" s="40" t="s">
        <v>39</v>
      </c>
      <c r="T14" s="40">
        <v>11.0</v>
      </c>
      <c r="U14" s="64">
        <f>Q9:Q62-R9:R62</f>
        <v>-36.87</v>
      </c>
      <c r="V14" s="43">
        <v>25.0</v>
      </c>
      <c r="W14" s="45">
        <f>V9:V33</f>
        <v>25</v>
      </c>
      <c r="X14" s="44" t="s">
        <v>49</v>
      </c>
      <c r="Y14" s="45">
        <f>R2:R67-W2:W67</f>
        <v>50</v>
      </c>
      <c r="Z14" s="46"/>
      <c r="AA14" s="32"/>
    </row>
    <row r="15">
      <c r="A15" s="3" t="s">
        <v>106</v>
      </c>
      <c r="B15" s="62">
        <v>40892.0</v>
      </c>
      <c r="C15" s="3" t="s">
        <v>107</v>
      </c>
      <c r="D15" s="3" t="s">
        <v>108</v>
      </c>
      <c r="E15" s="3">
        <v>594354.0</v>
      </c>
      <c r="F15" s="3" t="s">
        <v>109</v>
      </c>
      <c r="G15" s="3" t="s">
        <v>110</v>
      </c>
      <c r="H15" s="3">
        <v>1.0</v>
      </c>
      <c r="I15" s="3" t="s">
        <v>78</v>
      </c>
      <c r="J15" s="39">
        <v>50.0</v>
      </c>
      <c r="K15" s="40">
        <f>N15+O15+P15</f>
        <v>52.72</v>
      </c>
      <c r="L15" s="45">
        <f>SUM(S2:S67+T2:T67)</f>
        <v>67.63</v>
      </c>
      <c r="M15" s="40">
        <v>20.69</v>
      </c>
      <c r="N15" s="41">
        <f>SUM(H2:H67*M2:M67)</f>
        <v>20.69</v>
      </c>
      <c r="O15" s="40">
        <v>31.03</v>
      </c>
      <c r="P15" s="40">
        <v>1.0</v>
      </c>
      <c r="Q15" s="40">
        <f>P15+O15+N15</f>
        <v>52.72</v>
      </c>
      <c r="R15" s="45">
        <f>J9:J33</f>
        <v>50</v>
      </c>
      <c r="S15" s="40">
        <v>56.63</v>
      </c>
      <c r="T15" s="40">
        <v>11.0</v>
      </c>
      <c r="U15" s="43">
        <f>Q15-R15</f>
        <v>2.72</v>
      </c>
      <c r="V15" s="54">
        <v>32.03</v>
      </c>
      <c r="W15" s="45">
        <f>V9:V33</f>
        <v>32.03</v>
      </c>
      <c r="X15" s="44" t="s">
        <v>49</v>
      </c>
      <c r="Y15" s="45">
        <f>R2:R67-W2:W67</f>
        <v>17.97</v>
      </c>
      <c r="Z15" s="46"/>
      <c r="AA15" s="65" t="s">
        <v>111</v>
      </c>
    </row>
    <row r="16">
      <c r="A16" s="3" t="s">
        <v>112</v>
      </c>
      <c r="B16" s="62">
        <v>41641.0</v>
      </c>
      <c r="C16" s="3" t="s">
        <v>113</v>
      </c>
      <c r="D16" s="3" t="s">
        <v>114</v>
      </c>
      <c r="E16" s="3" t="s">
        <v>76</v>
      </c>
      <c r="F16" s="3" t="s">
        <v>115</v>
      </c>
      <c r="G16" s="3" t="s">
        <v>47</v>
      </c>
      <c r="H16" s="3">
        <v>1.0</v>
      </c>
      <c r="I16" s="3" t="s">
        <v>78</v>
      </c>
      <c r="J16" s="39">
        <v>25.0</v>
      </c>
      <c r="K16" s="41">
        <f>SUM(N3:N67+O3:O67+P3:P67)</f>
        <v>32.03</v>
      </c>
      <c r="L16" s="39" t="s">
        <v>39</v>
      </c>
      <c r="M16" s="40">
        <v>3.05</v>
      </c>
      <c r="N16" s="41">
        <f>SUM(H2:H67*M2:M67)</f>
        <v>3.05</v>
      </c>
      <c r="O16" s="40">
        <v>27.98</v>
      </c>
      <c r="P16" s="40">
        <v>1.0</v>
      </c>
      <c r="Q16" s="38">
        <f t="shared" ref="Q16:Q31" si="5">(K16:K40*1)</f>
        <v>32.03</v>
      </c>
      <c r="R16" s="45">
        <f>J9:J33</f>
        <v>25</v>
      </c>
      <c r="S16" s="40" t="s">
        <v>39</v>
      </c>
      <c r="T16" s="40">
        <v>11.0</v>
      </c>
      <c r="U16" s="45">
        <f>Q9:Q62-R9:R62</f>
        <v>7.03</v>
      </c>
      <c r="V16" s="43">
        <v>25.0</v>
      </c>
      <c r="W16" s="45">
        <f>V9:V33</f>
        <v>25</v>
      </c>
      <c r="X16" s="44" t="s">
        <v>49</v>
      </c>
      <c r="Y16" s="45">
        <f>R2:R67-W2:W67</f>
        <v>0</v>
      </c>
      <c r="Z16" s="46"/>
      <c r="AA16" s="66">
        <f>SUM(W5:W8)+W2+SUM(W28:W31)+SUM(W36:W37)+SUM(W56:W61)</f>
        <v>602.143</v>
      </c>
    </row>
    <row r="17">
      <c r="A17" s="3" t="s">
        <v>116</v>
      </c>
      <c r="B17" s="62">
        <v>42593.0</v>
      </c>
      <c r="C17" s="3" t="s">
        <v>117</v>
      </c>
      <c r="D17" s="3" t="s">
        <v>118</v>
      </c>
      <c r="E17" s="3">
        <v>597931.0</v>
      </c>
      <c r="F17" s="3" t="s">
        <v>119</v>
      </c>
      <c r="G17" s="3" t="s">
        <v>54</v>
      </c>
      <c r="H17" s="3">
        <v>1.0</v>
      </c>
      <c r="I17" s="3" t="s">
        <v>78</v>
      </c>
      <c r="J17" s="39">
        <v>40.0</v>
      </c>
      <c r="K17" s="41">
        <f>SUM(N3:N67+O3:O67+P3:P67)</f>
        <v>32.03</v>
      </c>
      <c r="L17" s="39">
        <f>SUM(S17+T17)</f>
        <v>67.63</v>
      </c>
      <c r="M17" s="40">
        <v>4.09</v>
      </c>
      <c r="N17" s="41">
        <f>SUM(H2:H67*M2:M67)</f>
        <v>4.09</v>
      </c>
      <c r="O17" s="40">
        <v>26.94</v>
      </c>
      <c r="P17" s="40">
        <v>1.0</v>
      </c>
      <c r="Q17" s="38">
        <f t="shared" si="5"/>
        <v>32.03</v>
      </c>
      <c r="R17" s="45">
        <f>J9:J33</f>
        <v>40</v>
      </c>
      <c r="S17" s="40">
        <v>56.63</v>
      </c>
      <c r="T17" s="40">
        <v>11.0</v>
      </c>
      <c r="U17" s="64">
        <f>Q9:Q62-R9:R62</f>
        <v>-7.97</v>
      </c>
      <c r="V17" s="54">
        <v>32.03</v>
      </c>
      <c r="W17" s="45">
        <f>V9:V33</f>
        <v>32.03</v>
      </c>
      <c r="X17" s="44" t="s">
        <v>49</v>
      </c>
      <c r="Y17" s="45">
        <f>R2:R67-W2:W67</f>
        <v>7.97</v>
      </c>
      <c r="Z17" s="46"/>
      <c r="AA17" s="67"/>
    </row>
    <row r="18">
      <c r="A18" s="3" t="s">
        <v>120</v>
      </c>
      <c r="B18" s="62">
        <v>40347.0</v>
      </c>
      <c r="C18" s="3" t="s">
        <v>121</v>
      </c>
      <c r="D18" s="3" t="s">
        <v>122</v>
      </c>
      <c r="E18" s="3">
        <v>450118.0</v>
      </c>
      <c r="F18" s="3" t="s">
        <v>123</v>
      </c>
      <c r="G18" s="3" t="s">
        <v>47</v>
      </c>
      <c r="H18" s="3">
        <v>1.0</v>
      </c>
      <c r="I18" s="3" t="s">
        <v>78</v>
      </c>
      <c r="J18" s="39">
        <v>25.0</v>
      </c>
      <c r="K18" s="41">
        <f>SUM(N3:N67+O3:O67+P3:P67)</f>
        <v>32.03</v>
      </c>
      <c r="L18" s="39" t="s">
        <v>39</v>
      </c>
      <c r="M18" s="40">
        <v>3.05</v>
      </c>
      <c r="N18" s="41">
        <f>SUM(H2:H67*M2:M67)</f>
        <v>3.05</v>
      </c>
      <c r="O18" s="40">
        <v>27.98</v>
      </c>
      <c r="P18" s="40">
        <v>1.0</v>
      </c>
      <c r="Q18" s="38">
        <f t="shared" si="5"/>
        <v>32.03</v>
      </c>
      <c r="R18" s="45">
        <f>J9:J33</f>
        <v>25</v>
      </c>
      <c r="S18" s="40" t="s">
        <v>39</v>
      </c>
      <c r="T18" s="40">
        <v>11.0</v>
      </c>
      <c r="U18" s="45">
        <f>Q9:Q62-R9:R62</f>
        <v>7.03</v>
      </c>
      <c r="V18" s="43">
        <v>25.0</v>
      </c>
      <c r="W18" s="45">
        <f>V9:V33</f>
        <v>25</v>
      </c>
      <c r="X18" s="44" t="s">
        <v>49</v>
      </c>
      <c r="Y18" s="45">
        <f>R2:R67-W2:W67</f>
        <v>0</v>
      </c>
      <c r="Z18" s="46"/>
      <c r="AA18" s="68" t="s">
        <v>124</v>
      </c>
      <c r="AB18" s="27" t="s">
        <v>2</v>
      </c>
    </row>
    <row r="19">
      <c r="A19" s="3" t="s">
        <v>125</v>
      </c>
      <c r="B19" s="62">
        <v>42234.0</v>
      </c>
      <c r="C19" s="3" t="s">
        <v>126</v>
      </c>
      <c r="D19" s="3" t="s">
        <v>127</v>
      </c>
      <c r="E19" s="3">
        <v>593909.0</v>
      </c>
      <c r="F19" s="3" t="s">
        <v>128</v>
      </c>
      <c r="G19" s="3" t="s">
        <v>54</v>
      </c>
      <c r="H19" s="3">
        <v>1.0</v>
      </c>
      <c r="I19" s="3" t="s">
        <v>78</v>
      </c>
      <c r="J19" s="39">
        <v>40.0</v>
      </c>
      <c r="K19" s="41">
        <f>SUM(N3:N67+O3:O67+P3:P67)</f>
        <v>32.03</v>
      </c>
      <c r="L19" s="45">
        <f>SUM(S19+T19)</f>
        <v>67.63</v>
      </c>
      <c r="M19" s="40">
        <v>4.09</v>
      </c>
      <c r="N19" s="41">
        <f>SUM(H2:H67*M2:M67)</f>
        <v>4.09</v>
      </c>
      <c r="O19" s="40">
        <v>26.94</v>
      </c>
      <c r="P19" s="40">
        <v>1.0</v>
      </c>
      <c r="Q19" s="38">
        <f t="shared" si="5"/>
        <v>32.03</v>
      </c>
      <c r="R19" s="45">
        <f>J9:J33</f>
        <v>40</v>
      </c>
      <c r="S19" s="40">
        <v>56.63</v>
      </c>
      <c r="T19" s="40">
        <v>11.0</v>
      </c>
      <c r="U19" s="64">
        <f>Q9:Q62-R9:R62</f>
        <v>-7.97</v>
      </c>
      <c r="V19" s="54">
        <v>32.03</v>
      </c>
      <c r="W19" s="45">
        <f>V9:V33</f>
        <v>32.03</v>
      </c>
      <c r="X19" s="44" t="s">
        <v>49</v>
      </c>
      <c r="Y19" s="45">
        <f>R2:R67-W2:W67</f>
        <v>7.97</v>
      </c>
      <c r="Z19" s="46"/>
      <c r="AA19" s="69">
        <f>Q2+SUM(Q5:Q8)+SUM(Q28:Q31)+SUM(Q36:Q37)+SUM(Q56:Q61)</f>
        <v>621.3166667</v>
      </c>
      <c r="AB19" s="70">
        <f>AA19*12</f>
        <v>7455.8</v>
      </c>
    </row>
    <row r="20">
      <c r="A20" s="3" t="s">
        <v>129</v>
      </c>
      <c r="B20" s="62">
        <v>38687.0</v>
      </c>
      <c r="C20" s="3" t="s">
        <v>130</v>
      </c>
      <c r="D20" s="3" t="s">
        <v>131</v>
      </c>
      <c r="E20" s="3">
        <v>592806.0</v>
      </c>
      <c r="F20" s="3" t="s">
        <v>132</v>
      </c>
      <c r="G20" s="3" t="s">
        <v>47</v>
      </c>
      <c r="H20" s="3">
        <v>1.0</v>
      </c>
      <c r="I20" s="3" t="s">
        <v>78</v>
      </c>
      <c r="J20" s="39">
        <v>25.0</v>
      </c>
      <c r="K20" s="41">
        <f>SUM(N3:N67+O3:O67+P3:P67)</f>
        <v>32.03</v>
      </c>
      <c r="L20" s="39" t="s">
        <v>39</v>
      </c>
      <c r="M20" s="40">
        <v>3.05</v>
      </c>
      <c r="N20" s="41">
        <f>SUM(H2:H67*M2:M67)</f>
        <v>3.05</v>
      </c>
      <c r="O20" s="40">
        <v>27.98</v>
      </c>
      <c r="P20" s="40">
        <v>1.0</v>
      </c>
      <c r="Q20" s="38">
        <f t="shared" si="5"/>
        <v>32.03</v>
      </c>
      <c r="R20" s="45">
        <f>J9:J33</f>
        <v>25</v>
      </c>
      <c r="S20" s="40" t="s">
        <v>39</v>
      </c>
      <c r="T20" s="40">
        <v>11.0</v>
      </c>
      <c r="U20" s="45">
        <f>Q9:Q62-R9:R62</f>
        <v>7.03</v>
      </c>
      <c r="V20" s="43">
        <v>25.0</v>
      </c>
      <c r="W20" s="45">
        <f>V9:V33</f>
        <v>25</v>
      </c>
      <c r="X20" s="44" t="s">
        <v>49</v>
      </c>
      <c r="Y20" s="45">
        <f>R2:R67-W2:W67</f>
        <v>0</v>
      </c>
      <c r="Z20" s="46"/>
      <c r="AA20" s="71"/>
    </row>
    <row r="21">
      <c r="A21" s="3" t="s">
        <v>133</v>
      </c>
      <c r="B21" s="62">
        <v>41695.0</v>
      </c>
      <c r="C21" s="3" t="s">
        <v>134</v>
      </c>
      <c r="D21" s="3" t="s">
        <v>135</v>
      </c>
      <c r="E21" s="3">
        <v>552098.0</v>
      </c>
      <c r="F21" s="3" t="s">
        <v>136</v>
      </c>
      <c r="G21" s="3" t="s">
        <v>137</v>
      </c>
      <c r="H21" s="3">
        <v>2.0</v>
      </c>
      <c r="I21" s="3" t="s">
        <v>78</v>
      </c>
      <c r="J21" s="39">
        <v>80.0</v>
      </c>
      <c r="K21" s="41">
        <f>SUM(N3:N67+O3:O67+P3:P67)</f>
        <v>36.12</v>
      </c>
      <c r="L21" s="45">
        <f>sum(S21+T21)</f>
        <v>67.63</v>
      </c>
      <c r="M21" s="40">
        <v>4.09</v>
      </c>
      <c r="N21" s="41">
        <f>SUM(H2:H67*M2:M67)</f>
        <v>8.18</v>
      </c>
      <c r="O21" s="40">
        <v>26.94</v>
      </c>
      <c r="P21" s="40">
        <v>1.0</v>
      </c>
      <c r="Q21" s="38">
        <f t="shared" si="5"/>
        <v>36.12</v>
      </c>
      <c r="R21" s="45">
        <f>J9:J33</f>
        <v>80</v>
      </c>
      <c r="S21" s="40">
        <v>56.63</v>
      </c>
      <c r="T21" s="40">
        <v>11.0</v>
      </c>
      <c r="U21" s="64">
        <f>Q9:Q62-R9:R62</f>
        <v>-43.88</v>
      </c>
      <c r="V21" s="54">
        <v>32.03</v>
      </c>
      <c r="W21" s="45">
        <f>V9:V33</f>
        <v>32.03</v>
      </c>
      <c r="X21" s="44" t="s">
        <v>49</v>
      </c>
      <c r="Y21" s="45">
        <f>R2:R67-W2:W67</f>
        <v>47.97</v>
      </c>
      <c r="Z21" s="46"/>
      <c r="AA21" s="68" t="s">
        <v>138</v>
      </c>
    </row>
    <row r="22">
      <c r="A22" s="3" t="s">
        <v>139</v>
      </c>
      <c r="B22" s="62">
        <v>41423.0</v>
      </c>
      <c r="C22" s="3" t="s">
        <v>140</v>
      </c>
      <c r="D22" s="3" t="s">
        <v>141</v>
      </c>
      <c r="E22" s="3">
        <v>559799.0</v>
      </c>
      <c r="F22" s="3" t="s">
        <v>142</v>
      </c>
      <c r="G22" s="3" t="s">
        <v>47</v>
      </c>
      <c r="H22" s="3">
        <v>1.0</v>
      </c>
      <c r="I22" s="3" t="s">
        <v>78</v>
      </c>
      <c r="J22" s="39">
        <v>25.0</v>
      </c>
      <c r="K22" s="41">
        <f>SUM(N3:N67+O3:O67+P3:P67)</f>
        <v>32.03</v>
      </c>
      <c r="L22" s="39" t="s">
        <v>39</v>
      </c>
      <c r="M22" s="40">
        <v>3.05</v>
      </c>
      <c r="N22" s="41">
        <f>SUM(H2:H67*M2:M67)</f>
        <v>3.05</v>
      </c>
      <c r="O22" s="40">
        <v>27.98</v>
      </c>
      <c r="P22" s="40">
        <v>1.0</v>
      </c>
      <c r="Q22" s="38">
        <f t="shared" si="5"/>
        <v>32.03</v>
      </c>
      <c r="R22" s="45">
        <f>J9:J33</f>
        <v>25</v>
      </c>
      <c r="S22" s="40" t="s">
        <v>39</v>
      </c>
      <c r="T22" s="40">
        <v>11.0</v>
      </c>
      <c r="U22" s="45">
        <f>Q9:Q62-R9:R62</f>
        <v>7.03</v>
      </c>
      <c r="V22" s="43">
        <v>25.0</v>
      </c>
      <c r="W22" s="45">
        <f>V9:V33</f>
        <v>25</v>
      </c>
      <c r="X22" s="44" t="s">
        <v>49</v>
      </c>
      <c r="Y22" s="45">
        <f>R2:R67-W2:W67</f>
        <v>0</v>
      </c>
      <c r="Z22" s="46"/>
      <c r="AA22" s="69">
        <f>AA19-AA16</f>
        <v>19.17366667</v>
      </c>
    </row>
    <row r="23">
      <c r="A23" s="3" t="s">
        <v>143</v>
      </c>
      <c r="B23" s="62">
        <v>39566.0</v>
      </c>
      <c r="C23" s="3" t="s">
        <v>144</v>
      </c>
      <c r="D23" s="3" t="s">
        <v>145</v>
      </c>
      <c r="E23" s="3">
        <v>593528.0</v>
      </c>
      <c r="F23" s="3" t="s">
        <v>146</v>
      </c>
      <c r="G23" s="3" t="s">
        <v>147</v>
      </c>
      <c r="H23" s="3">
        <v>2.0</v>
      </c>
      <c r="I23" s="3" t="s">
        <v>78</v>
      </c>
      <c r="J23" s="39">
        <v>50.0</v>
      </c>
      <c r="K23" s="41">
        <f>SUM(N3:N67+O3:O67+P3:P67)</f>
        <v>35.08</v>
      </c>
      <c r="L23" s="39" t="s">
        <v>39</v>
      </c>
      <c r="M23" s="40">
        <v>3.05</v>
      </c>
      <c r="N23" s="41">
        <f>SUM(H2:H67*M2:M67)</f>
        <v>6.1</v>
      </c>
      <c r="O23" s="40">
        <v>27.98</v>
      </c>
      <c r="P23" s="40">
        <v>1.0</v>
      </c>
      <c r="Q23" s="38">
        <f t="shared" si="5"/>
        <v>35.08</v>
      </c>
      <c r="R23" s="45">
        <f>J9:J33</f>
        <v>50</v>
      </c>
      <c r="S23" s="40" t="s">
        <v>39</v>
      </c>
      <c r="T23" s="40">
        <v>11.0</v>
      </c>
      <c r="U23" s="64">
        <f>Q9:Q62-R9:R62</f>
        <v>-14.92</v>
      </c>
      <c r="V23" s="43">
        <v>25.0</v>
      </c>
      <c r="W23" s="45">
        <f>V9:V33</f>
        <v>25</v>
      </c>
      <c r="X23" s="44" t="s">
        <v>49</v>
      </c>
      <c r="Y23" s="45">
        <f>R2:R67-W2:W67</f>
        <v>25</v>
      </c>
      <c r="Z23" s="46"/>
      <c r="AA23" s="68" t="s">
        <v>148</v>
      </c>
    </row>
    <row r="24">
      <c r="A24" s="18"/>
      <c r="B24" s="62">
        <v>39566.0</v>
      </c>
      <c r="C24" s="3" t="s">
        <v>144</v>
      </c>
      <c r="D24" s="3" t="s">
        <v>145</v>
      </c>
      <c r="E24" s="3">
        <v>593528.0</v>
      </c>
      <c r="F24" s="3" t="s">
        <v>146</v>
      </c>
      <c r="G24" s="3" t="s">
        <v>54</v>
      </c>
      <c r="H24" s="3">
        <v>1.0</v>
      </c>
      <c r="I24" s="3" t="s">
        <v>78</v>
      </c>
      <c r="J24" s="39">
        <v>40.0</v>
      </c>
      <c r="K24" s="41">
        <f>SUM(N3:N67+O3:O67+P3:P67)</f>
        <v>32.03</v>
      </c>
      <c r="L24" s="45">
        <f>SUM(S2:S67+T2:T67)</f>
        <v>67.63</v>
      </c>
      <c r="M24" s="40">
        <v>4.09</v>
      </c>
      <c r="N24" s="41">
        <f>SUM(H2:H67*M2:M67)</f>
        <v>4.09</v>
      </c>
      <c r="O24" s="40">
        <v>26.94</v>
      </c>
      <c r="P24" s="40">
        <v>1.0</v>
      </c>
      <c r="Q24" s="38">
        <f t="shared" si="5"/>
        <v>32.03</v>
      </c>
      <c r="R24" s="45">
        <f>J9:J33</f>
        <v>40</v>
      </c>
      <c r="S24" s="40">
        <v>56.63</v>
      </c>
      <c r="T24" s="40">
        <v>11.0</v>
      </c>
      <c r="U24" s="64">
        <f>Q9:Q62-R9:R62</f>
        <v>-7.97</v>
      </c>
      <c r="V24" s="54">
        <v>32.03</v>
      </c>
      <c r="W24" s="45">
        <f>V9:V33</f>
        <v>32.03</v>
      </c>
      <c r="X24" s="44" t="s">
        <v>49</v>
      </c>
      <c r="Y24" s="45">
        <f>R2:R67-W2:W67</f>
        <v>7.97</v>
      </c>
      <c r="Z24" s="46"/>
      <c r="AA24" s="69">
        <f>AA22*12</f>
        <v>230.084</v>
      </c>
    </row>
    <row r="25">
      <c r="A25" s="3" t="s">
        <v>149</v>
      </c>
      <c r="B25" s="62">
        <v>39084.0</v>
      </c>
      <c r="C25" s="3" t="s">
        <v>150</v>
      </c>
      <c r="D25" s="3" t="s">
        <v>151</v>
      </c>
      <c r="E25" s="3">
        <v>594953.0</v>
      </c>
      <c r="F25" s="3" t="s">
        <v>152</v>
      </c>
      <c r="G25" s="3" t="s">
        <v>47</v>
      </c>
      <c r="H25" s="3">
        <v>1.0</v>
      </c>
      <c r="I25" s="3" t="s">
        <v>78</v>
      </c>
      <c r="J25" s="39">
        <v>25.0</v>
      </c>
      <c r="K25" s="41">
        <f>SUM(N3:N67+O3:O67+P3:P67)</f>
        <v>30.99</v>
      </c>
      <c r="L25" s="39" t="s">
        <v>39</v>
      </c>
      <c r="M25" s="40">
        <v>3.05</v>
      </c>
      <c r="N25" s="41">
        <f>SUM(H2:H67*M2:M67)</f>
        <v>3.05</v>
      </c>
      <c r="O25" s="40">
        <v>26.94</v>
      </c>
      <c r="P25" s="40">
        <v>1.0</v>
      </c>
      <c r="Q25" s="38">
        <f t="shared" si="5"/>
        <v>30.99</v>
      </c>
      <c r="R25" s="45">
        <f>J9:J33</f>
        <v>25</v>
      </c>
      <c r="S25" s="40" t="s">
        <v>39</v>
      </c>
      <c r="T25" s="40">
        <v>11.0</v>
      </c>
      <c r="U25" s="72">
        <f>Q9:Q62-R9:R62</f>
        <v>5.99</v>
      </c>
      <c r="V25" s="43">
        <v>25.0</v>
      </c>
      <c r="W25" s="45">
        <f>V9:V33</f>
        <v>25</v>
      </c>
      <c r="X25" s="44" t="s">
        <v>49</v>
      </c>
      <c r="Y25" s="45">
        <f>R2:R67-W2:W67</f>
        <v>0</v>
      </c>
      <c r="Z25" s="46"/>
      <c r="AA25" s="32"/>
    </row>
    <row r="26">
      <c r="A26" s="3" t="s">
        <v>153</v>
      </c>
      <c r="B26" s="62">
        <v>41717.0</v>
      </c>
      <c r="C26" s="3" t="s">
        <v>126</v>
      </c>
      <c r="D26" s="3" t="s">
        <v>127</v>
      </c>
      <c r="E26" s="3">
        <v>593909.0</v>
      </c>
      <c r="F26" s="3" t="s">
        <v>154</v>
      </c>
      <c r="G26" s="3" t="s">
        <v>155</v>
      </c>
      <c r="H26" s="3">
        <v>3.0</v>
      </c>
      <c r="I26" s="3" t="s">
        <v>78</v>
      </c>
      <c r="J26" s="39">
        <v>120.0</v>
      </c>
      <c r="K26" s="41">
        <f>SUM(N3:N67+O3:O67+P3:P67)</f>
        <v>40.21</v>
      </c>
      <c r="L26" s="45">
        <f>SUM(S2:S67+T2:T67)</f>
        <v>67.63</v>
      </c>
      <c r="M26" s="40">
        <v>4.09</v>
      </c>
      <c r="N26" s="41">
        <f>SUM(H2:H67*M2:M67)</f>
        <v>12.27</v>
      </c>
      <c r="O26" s="40">
        <v>26.94</v>
      </c>
      <c r="P26" s="40">
        <v>1.0</v>
      </c>
      <c r="Q26" s="38">
        <f t="shared" si="5"/>
        <v>40.21</v>
      </c>
      <c r="R26" s="45">
        <f>J9:J33</f>
        <v>120</v>
      </c>
      <c r="S26" s="40">
        <v>56.63</v>
      </c>
      <c r="T26" s="40">
        <v>11.0</v>
      </c>
      <c r="U26" s="64">
        <f>Q9:Q62-R9:R62</f>
        <v>-79.79</v>
      </c>
      <c r="V26" s="54">
        <v>32.03</v>
      </c>
      <c r="W26" s="45">
        <f>V9:V33</f>
        <v>32.03</v>
      </c>
      <c r="X26" s="44" t="s">
        <v>49</v>
      </c>
      <c r="Y26" s="45">
        <f>R2:R67-W2:W67</f>
        <v>87.97</v>
      </c>
      <c r="Z26" s="46"/>
      <c r="AA26" s="32"/>
    </row>
    <row r="27">
      <c r="A27" s="3" t="s">
        <v>156</v>
      </c>
      <c r="B27" s="62">
        <v>38569.0</v>
      </c>
      <c r="C27" s="3" t="s">
        <v>157</v>
      </c>
      <c r="D27" s="3" t="s">
        <v>158</v>
      </c>
      <c r="E27" s="3">
        <v>483037.0</v>
      </c>
      <c r="F27" s="3" t="s">
        <v>159</v>
      </c>
      <c r="G27" s="3" t="s">
        <v>160</v>
      </c>
      <c r="H27" s="3">
        <v>4.0</v>
      </c>
      <c r="I27" s="3" t="s">
        <v>78</v>
      </c>
      <c r="J27" s="39">
        <v>100.0</v>
      </c>
      <c r="K27" s="41">
        <f>SUM(N3:N67+O3:O67+P3:P67)</f>
        <v>41.18</v>
      </c>
      <c r="L27" s="39" t="s">
        <v>39</v>
      </c>
      <c r="M27" s="40">
        <v>3.05</v>
      </c>
      <c r="N27" s="41">
        <f>SUM(H2:H67*M2:M67)</f>
        <v>12.2</v>
      </c>
      <c r="O27" s="40">
        <v>27.98</v>
      </c>
      <c r="P27" s="40">
        <v>1.0</v>
      </c>
      <c r="Q27" s="38">
        <f t="shared" si="5"/>
        <v>41.18</v>
      </c>
      <c r="R27" s="45">
        <f>J9:J33</f>
        <v>100</v>
      </c>
      <c r="S27" s="40" t="s">
        <v>39</v>
      </c>
      <c r="T27" s="40">
        <v>11.0</v>
      </c>
      <c r="U27" s="64">
        <f>Q9:Q62-R9:R62</f>
        <v>-58.82</v>
      </c>
      <c r="V27" s="43">
        <v>25.0</v>
      </c>
      <c r="W27" s="45">
        <f>V9:V33</f>
        <v>25</v>
      </c>
      <c r="X27" s="44" t="s">
        <v>49</v>
      </c>
      <c r="Y27" s="45">
        <f>R2:R67-W2:W67</f>
        <v>75</v>
      </c>
      <c r="Z27" s="46"/>
      <c r="AA27" s="73" t="s">
        <v>161</v>
      </c>
    </row>
    <row r="28">
      <c r="A28" s="18"/>
      <c r="B28" s="18"/>
      <c r="C28" s="3" t="s">
        <v>162</v>
      </c>
      <c r="D28" s="18"/>
      <c r="E28" s="3" t="s">
        <v>163</v>
      </c>
      <c r="F28" s="3" t="s">
        <v>164</v>
      </c>
      <c r="G28" s="20" t="s">
        <v>59</v>
      </c>
      <c r="H28" s="20">
        <v>1.0</v>
      </c>
      <c r="I28" s="20" t="s">
        <v>78</v>
      </c>
      <c r="J28" s="22">
        <v>40.0</v>
      </c>
      <c r="K28" s="57">
        <f>SUM(N3:N67+O3:O67+P3:P67)</f>
        <v>32.03</v>
      </c>
      <c r="L28" s="57">
        <f>SUM(S2:S67+T2:T67)</f>
        <v>67.63</v>
      </c>
      <c r="M28" s="25">
        <v>4.09</v>
      </c>
      <c r="N28" s="57">
        <f>SUM(H2:H67*M2:M67)</f>
        <v>4.09</v>
      </c>
      <c r="O28" s="25">
        <v>26.94</v>
      </c>
      <c r="P28" s="25">
        <v>1.0</v>
      </c>
      <c r="Q28" s="74">
        <f t="shared" si="5"/>
        <v>32.03</v>
      </c>
      <c r="R28" s="26">
        <f>J9:J33</f>
        <v>40</v>
      </c>
      <c r="S28" s="22">
        <v>56.63</v>
      </c>
      <c r="T28" s="22">
        <v>11.0</v>
      </c>
      <c r="U28" s="58">
        <f>Q9:Q62-R9:R62</f>
        <v>-7.97</v>
      </c>
      <c r="V28" s="59">
        <v>32.03</v>
      </c>
      <c r="W28" s="57">
        <f>V9:V33</f>
        <v>32.03</v>
      </c>
      <c r="X28" s="57">
        <f>Q2:Q67-W2:W67</f>
        <v>0</v>
      </c>
      <c r="Y28" s="60" t="s">
        <v>49</v>
      </c>
      <c r="Z28" s="46"/>
      <c r="AA28" s="75">
        <f>SUM(V32:V33)</f>
        <v>32.03</v>
      </c>
    </row>
    <row r="29">
      <c r="A29" s="18"/>
      <c r="B29" s="18"/>
      <c r="C29" s="3" t="s">
        <v>69</v>
      </c>
      <c r="D29" s="18"/>
      <c r="E29" s="3" t="s">
        <v>57</v>
      </c>
      <c r="F29" s="3" t="s">
        <v>165</v>
      </c>
      <c r="G29" s="20" t="s">
        <v>59</v>
      </c>
      <c r="H29" s="20">
        <v>1.0</v>
      </c>
      <c r="I29" s="20" t="s">
        <v>78</v>
      </c>
      <c r="J29" s="22">
        <v>40.0</v>
      </c>
      <c r="K29" s="57">
        <f>SUM(N3:N67+O3:O67+P3:P67)</f>
        <v>32.03</v>
      </c>
      <c r="L29" s="57">
        <f>SUM(S2:S67+T2:T67)</f>
        <v>67.63</v>
      </c>
      <c r="M29" s="25">
        <v>4.09</v>
      </c>
      <c r="N29" s="57">
        <f>SUM(H2:H67*M2:M67)</f>
        <v>4.09</v>
      </c>
      <c r="O29" s="25">
        <v>26.94</v>
      </c>
      <c r="P29" s="25">
        <v>1.0</v>
      </c>
      <c r="Q29" s="74">
        <f t="shared" si="5"/>
        <v>32.03</v>
      </c>
      <c r="R29" s="26">
        <f>J9:J33</f>
        <v>40</v>
      </c>
      <c r="S29" s="22">
        <v>56.63</v>
      </c>
      <c r="T29" s="22">
        <v>11.0</v>
      </c>
      <c r="U29" s="58">
        <f>Q9:Q62-R9:R62</f>
        <v>-7.97</v>
      </c>
      <c r="V29" s="59">
        <v>32.03</v>
      </c>
      <c r="W29" s="57">
        <f>V9:V33</f>
        <v>32.03</v>
      </c>
      <c r="X29" s="57">
        <f>Q2:Q67-W2:W67</f>
        <v>0</v>
      </c>
      <c r="Y29" s="60" t="s">
        <v>49</v>
      </c>
      <c r="Z29" s="46"/>
      <c r="AA29" s="76"/>
    </row>
    <row r="30">
      <c r="A30" s="18"/>
      <c r="B30" s="18"/>
      <c r="C30" s="3" t="s">
        <v>166</v>
      </c>
      <c r="D30" s="18"/>
      <c r="E30" s="3">
        <v>353523.0</v>
      </c>
      <c r="F30" s="3" t="s">
        <v>167</v>
      </c>
      <c r="G30" s="20" t="s">
        <v>59</v>
      </c>
      <c r="H30" s="20">
        <v>1.0</v>
      </c>
      <c r="I30" s="20" t="s">
        <v>78</v>
      </c>
      <c r="J30" s="22">
        <v>40.0</v>
      </c>
      <c r="K30" s="57">
        <f>SUM(N3:N67+O3:O67+P3:P67)</f>
        <v>32.03</v>
      </c>
      <c r="L30" s="57">
        <f>SUM(S2:S67+T2:T67)</f>
        <v>67.63</v>
      </c>
      <c r="M30" s="25">
        <v>4.09</v>
      </c>
      <c r="N30" s="57">
        <f>SUM(H2:H67*M2:M67)</f>
        <v>4.09</v>
      </c>
      <c r="O30" s="25">
        <v>26.94</v>
      </c>
      <c r="P30" s="25">
        <v>1.0</v>
      </c>
      <c r="Q30" s="74">
        <f t="shared" si="5"/>
        <v>32.03</v>
      </c>
      <c r="R30" s="26">
        <f>J9:J33</f>
        <v>40</v>
      </c>
      <c r="S30" s="22">
        <v>56.63</v>
      </c>
      <c r="T30" s="22">
        <v>11.0</v>
      </c>
      <c r="U30" s="58">
        <f>Q9:Q62-R9:R62</f>
        <v>-7.97</v>
      </c>
      <c r="V30" s="59">
        <v>32.03</v>
      </c>
      <c r="W30" s="57">
        <f>V9:V33</f>
        <v>32.03</v>
      </c>
      <c r="X30" s="57">
        <f>Q2:Q67-W2:W67</f>
        <v>0</v>
      </c>
      <c r="Y30" s="60" t="s">
        <v>49</v>
      </c>
      <c r="Z30" s="46"/>
      <c r="AA30" s="73" t="s">
        <v>168</v>
      </c>
      <c r="AB30" s="27" t="s">
        <v>2</v>
      </c>
    </row>
    <row r="31">
      <c r="A31" s="18"/>
      <c r="B31" s="18"/>
      <c r="C31" s="3" t="s">
        <v>169</v>
      </c>
      <c r="D31" s="18"/>
      <c r="E31" s="3" t="s">
        <v>170</v>
      </c>
      <c r="F31" s="3" t="s">
        <v>171</v>
      </c>
      <c r="G31" s="20" t="s">
        <v>59</v>
      </c>
      <c r="H31" s="20">
        <v>1.0</v>
      </c>
      <c r="I31" s="20" t="s">
        <v>78</v>
      </c>
      <c r="J31" s="22">
        <v>40.0</v>
      </c>
      <c r="K31" s="57">
        <f>SUM(N3:N67+O3:O67+P3:P67)</f>
        <v>32.03</v>
      </c>
      <c r="L31" s="57">
        <f>SUM(S2:S67+T2:T67)</f>
        <v>67.63</v>
      </c>
      <c r="M31" s="25">
        <v>4.09</v>
      </c>
      <c r="N31" s="57">
        <f>SUM(H2:H67*M2:M67)</f>
        <v>4.09</v>
      </c>
      <c r="O31" s="25">
        <v>26.94</v>
      </c>
      <c r="P31" s="25">
        <v>1.0</v>
      </c>
      <c r="Q31" s="74">
        <f t="shared" si="5"/>
        <v>32.03</v>
      </c>
      <c r="R31" s="26">
        <f>J9:J33</f>
        <v>40</v>
      </c>
      <c r="S31" s="22">
        <v>56.63</v>
      </c>
      <c r="T31" s="22">
        <v>11.0</v>
      </c>
      <c r="U31" s="58">
        <f>Q9:Q62-R9:R62</f>
        <v>-7.97</v>
      </c>
      <c r="V31" s="59">
        <v>32.03</v>
      </c>
      <c r="W31" s="57">
        <f>V9:V33</f>
        <v>32.03</v>
      </c>
      <c r="X31" s="57">
        <f>Q2:Q67-W2:W67</f>
        <v>0</v>
      </c>
      <c r="Y31" s="60" t="s">
        <v>49</v>
      </c>
      <c r="Z31" s="46"/>
      <c r="AA31" s="75">
        <f>L33</f>
        <v>67.63</v>
      </c>
      <c r="AB31" s="70">
        <f>AA31*12</f>
        <v>811.56</v>
      </c>
    </row>
    <row r="32">
      <c r="A32" s="18"/>
      <c r="B32" s="18"/>
      <c r="C32" s="18"/>
      <c r="D32" s="18"/>
      <c r="E32" s="18"/>
      <c r="F32" s="3"/>
      <c r="G32" s="77" t="s">
        <v>172</v>
      </c>
      <c r="H32" s="77">
        <v>1.0</v>
      </c>
      <c r="I32" s="77" t="s">
        <v>78</v>
      </c>
      <c r="J32" s="78">
        <v>50.0</v>
      </c>
      <c r="K32" s="79">
        <f>N32+O32+P32</f>
        <v>52.72</v>
      </c>
      <c r="L32" s="80"/>
      <c r="M32" s="81">
        <v>20.69</v>
      </c>
      <c r="N32" s="81">
        <f>M32*1</f>
        <v>20.69</v>
      </c>
      <c r="O32" s="81">
        <v>31.03</v>
      </c>
      <c r="P32" s="81">
        <v>1.0</v>
      </c>
      <c r="Q32" s="82">
        <f>K32*1</f>
        <v>52.72</v>
      </c>
      <c r="R32" s="78">
        <v>50.0</v>
      </c>
      <c r="S32" s="83"/>
      <c r="T32" s="81">
        <v>11.0</v>
      </c>
      <c r="U32" s="80">
        <f>Q32-R32</f>
        <v>2.72</v>
      </c>
      <c r="V32" s="84">
        <v>0.0</v>
      </c>
      <c r="W32" s="85">
        <v>0.0</v>
      </c>
      <c r="X32" s="85" t="s">
        <v>49</v>
      </c>
      <c r="Y32" s="85" t="s">
        <v>49</v>
      </c>
      <c r="Z32" s="46"/>
      <c r="AA32" s="76"/>
    </row>
    <row r="33">
      <c r="A33" s="18"/>
      <c r="B33" s="18"/>
      <c r="C33" s="18"/>
      <c r="D33" s="18"/>
      <c r="E33" s="18"/>
      <c r="F33" s="3" t="s">
        <v>173</v>
      </c>
      <c r="G33" s="77" t="s">
        <v>174</v>
      </c>
      <c r="H33" s="77">
        <v>6.0</v>
      </c>
      <c r="I33" s="77" t="s">
        <v>78</v>
      </c>
      <c r="J33" s="81">
        <v>40.0</v>
      </c>
      <c r="K33" s="79">
        <f>SUM(N3:N67+O3:O67+P3:P67)</f>
        <v>52.48</v>
      </c>
      <c r="L33" s="80">
        <f>SUM(S2:S67+T2:T67)</f>
        <v>67.63</v>
      </c>
      <c r="M33" s="81">
        <v>4.09</v>
      </c>
      <c r="N33" s="79">
        <f>SUM(H2:H67*M2:M67)</f>
        <v>24.54</v>
      </c>
      <c r="O33" s="81">
        <v>26.94</v>
      </c>
      <c r="P33" s="81">
        <v>1.0</v>
      </c>
      <c r="Q33" s="82">
        <f>(K33:K56*1)</f>
        <v>52.48</v>
      </c>
      <c r="R33" s="79">
        <f>J9:J33</f>
        <v>40</v>
      </c>
      <c r="S33" s="83">
        <v>56.63</v>
      </c>
      <c r="T33" s="83">
        <v>11.0</v>
      </c>
      <c r="U33" s="80">
        <f>Q9:Q62-R9:R62</f>
        <v>12.48</v>
      </c>
      <c r="V33" s="84">
        <v>32.03</v>
      </c>
      <c r="W33" s="80">
        <f>V9:V33</f>
        <v>32.03</v>
      </c>
      <c r="X33" s="85" t="s">
        <v>49</v>
      </c>
      <c r="Y33" s="85" t="s">
        <v>49</v>
      </c>
      <c r="Z33" s="46"/>
      <c r="AA33" s="73" t="s">
        <v>175</v>
      </c>
    </row>
    <row r="34">
      <c r="A34" s="49" t="s">
        <v>176</v>
      </c>
      <c r="B34" s="86">
        <v>38723.0</v>
      </c>
      <c r="C34" s="50" t="s">
        <v>177</v>
      </c>
      <c r="D34" s="87" t="s">
        <v>178</v>
      </c>
      <c r="E34" s="87">
        <v>592831.0</v>
      </c>
      <c r="F34" s="50" t="s">
        <v>179</v>
      </c>
      <c r="G34" s="50" t="s">
        <v>47</v>
      </c>
      <c r="H34" s="3">
        <v>1.0</v>
      </c>
      <c r="I34" s="3" t="s">
        <v>180</v>
      </c>
      <c r="J34" s="51">
        <v>25.0</v>
      </c>
      <c r="K34" s="41">
        <f>SUM(N3:N67+O3:O67+P3:P67)</f>
        <v>32.03</v>
      </c>
      <c r="L34" s="39" t="s">
        <v>39</v>
      </c>
      <c r="M34" s="40">
        <v>3.05</v>
      </c>
      <c r="N34" s="41">
        <f>SUM(H2:H67*M2:M67)</f>
        <v>3.05</v>
      </c>
      <c r="O34" s="40">
        <v>27.98</v>
      </c>
      <c r="P34" s="40">
        <v>1.0</v>
      </c>
      <c r="Q34" s="38">
        <f>(4/6)*K34:K37</f>
        <v>21.35333333</v>
      </c>
      <c r="R34" s="42">
        <f>J34:J37*(4/6)</f>
        <v>16.66666667</v>
      </c>
      <c r="S34" s="40" t="s">
        <v>39</v>
      </c>
      <c r="T34" s="40">
        <v>11.0</v>
      </c>
      <c r="U34" s="45">
        <f>Q9:Q62-R9:R62</f>
        <v>4.686666667</v>
      </c>
      <c r="V34" s="43">
        <v>25.0</v>
      </c>
      <c r="W34" s="88">
        <f>V34:V37*(4/6)</f>
        <v>16.66666667</v>
      </c>
      <c r="X34" s="44" t="s">
        <v>49</v>
      </c>
      <c r="Y34" s="45">
        <f>R2:R67-W2:W67</f>
        <v>0</v>
      </c>
      <c r="Z34" s="46"/>
      <c r="AA34" s="75">
        <f>AA31-AA28</f>
        <v>35.6</v>
      </c>
    </row>
    <row r="35">
      <c r="A35" s="89"/>
      <c r="B35" s="62">
        <v>38723.0</v>
      </c>
      <c r="C35" s="90" t="s">
        <v>177</v>
      </c>
      <c r="D35" s="35" t="s">
        <v>178</v>
      </c>
      <c r="E35" s="36">
        <v>592831.0</v>
      </c>
      <c r="F35" s="87" t="s">
        <v>179</v>
      </c>
      <c r="G35" s="87" t="s">
        <v>110</v>
      </c>
      <c r="H35" s="3">
        <v>1.0</v>
      </c>
      <c r="I35" s="3" t="s">
        <v>180</v>
      </c>
      <c r="J35" s="91">
        <v>50.0</v>
      </c>
      <c r="K35" s="92">
        <f>P35+O35+N35</f>
        <v>52.72</v>
      </c>
      <c r="L35" s="45">
        <f>SUM(S2:S67+T2:T67)</f>
        <v>67.63</v>
      </c>
      <c r="M35" s="40">
        <v>20.69</v>
      </c>
      <c r="N35" s="41">
        <f>SUM(H2:H67*M2:M67)</f>
        <v>20.69</v>
      </c>
      <c r="O35" s="39">
        <v>31.03</v>
      </c>
      <c r="P35" s="40">
        <v>1.0</v>
      </c>
      <c r="Q35" s="40">
        <f>K35*(4/6)</f>
        <v>35.14666667</v>
      </c>
      <c r="R35" s="45">
        <f>J34:J37*(4/6)</f>
        <v>33.33333333</v>
      </c>
      <c r="S35" s="40">
        <v>56.63</v>
      </c>
      <c r="T35" s="40">
        <v>11.0</v>
      </c>
      <c r="U35" s="43">
        <f>Q35-R35</f>
        <v>1.813333333</v>
      </c>
      <c r="V35" s="54">
        <v>32.03</v>
      </c>
      <c r="W35" s="45">
        <f>V34:V37*(4/6)</f>
        <v>21.35333333</v>
      </c>
      <c r="X35" s="44" t="s">
        <v>49</v>
      </c>
      <c r="Y35" s="45">
        <f>R2:R67-W2:W67</f>
        <v>11.98</v>
      </c>
      <c r="Z35" s="46"/>
      <c r="AA35" s="73" t="s">
        <v>181</v>
      </c>
    </row>
    <row r="36">
      <c r="A36" s="93"/>
      <c r="B36" s="94"/>
      <c r="C36" s="33" t="s">
        <v>182</v>
      </c>
      <c r="D36" s="95"/>
      <c r="E36" s="36">
        <v>354580.0</v>
      </c>
      <c r="F36" s="36" t="s">
        <v>183</v>
      </c>
      <c r="G36" s="96" t="s">
        <v>184</v>
      </c>
      <c r="H36" s="20">
        <v>1.0</v>
      </c>
      <c r="I36" s="20" t="s">
        <v>185</v>
      </c>
      <c r="J36" s="97">
        <v>25.0</v>
      </c>
      <c r="K36" s="57">
        <f>SUM(N3:N67+O3:O67+P3:P67)</f>
        <v>32.03</v>
      </c>
      <c r="L36" s="58">
        <f>SUM(S2:S67+T2:T67)</f>
        <v>67.63</v>
      </c>
      <c r="M36" s="25">
        <v>3.05</v>
      </c>
      <c r="N36" s="57">
        <f>SUM(H2:H67*M2:M67)</f>
        <v>3.05</v>
      </c>
      <c r="O36" s="25">
        <v>27.98</v>
      </c>
      <c r="P36" s="25">
        <v>1.0</v>
      </c>
      <c r="Q36" s="98">
        <f t="shared" ref="Q36:Q37" si="6">K36/2</f>
        <v>16.015</v>
      </c>
      <c r="R36" s="26">
        <f>J34:J37*(4/6)</f>
        <v>16.66666667</v>
      </c>
      <c r="S36" s="22">
        <v>56.63</v>
      </c>
      <c r="T36" s="22">
        <v>11.0</v>
      </c>
      <c r="U36" s="57">
        <f>Q9:Q62-R9:R62</f>
        <v>-0.6516666667</v>
      </c>
      <c r="V36" s="28">
        <v>25.0</v>
      </c>
      <c r="W36" s="57">
        <f>V34:V37*(4/6)</f>
        <v>16.66666667</v>
      </c>
      <c r="X36" s="57">
        <f>Q2:Q67-W2:W67</f>
        <v>-0.6516666667</v>
      </c>
      <c r="Y36" s="60" t="s">
        <v>49</v>
      </c>
      <c r="Z36" s="46"/>
      <c r="AA36" s="75">
        <f>AA34*12</f>
        <v>427.2</v>
      </c>
    </row>
    <row r="37">
      <c r="A37" s="18"/>
      <c r="B37" s="18"/>
      <c r="C37" s="3" t="s">
        <v>182</v>
      </c>
      <c r="D37" s="99"/>
      <c r="E37" s="50">
        <v>354580.0</v>
      </c>
      <c r="F37" s="3" t="s">
        <v>183</v>
      </c>
      <c r="G37" s="20" t="s">
        <v>59</v>
      </c>
      <c r="H37" s="20">
        <v>1.0</v>
      </c>
      <c r="I37" s="20" t="s">
        <v>185</v>
      </c>
      <c r="J37" s="22">
        <v>40.0</v>
      </c>
      <c r="K37" s="57">
        <f>SUM(N3:N67+O3:O67+P3:P67)</f>
        <v>32.03</v>
      </c>
      <c r="L37" s="57">
        <f>SUM(S2:S67+T2:T67)</f>
        <v>67.63</v>
      </c>
      <c r="M37" s="25">
        <v>4.09</v>
      </c>
      <c r="N37" s="57">
        <f>SUM(H2:H67*M2:M67)</f>
        <v>4.09</v>
      </c>
      <c r="O37" s="25">
        <v>26.94</v>
      </c>
      <c r="P37" s="25">
        <v>1.0</v>
      </c>
      <c r="Q37" s="98">
        <f t="shared" si="6"/>
        <v>16.015</v>
      </c>
      <c r="R37" s="26">
        <f>J34:J37*(4/6)</f>
        <v>26.66666667</v>
      </c>
      <c r="S37" s="22">
        <v>56.63</v>
      </c>
      <c r="T37" s="22">
        <v>11.0</v>
      </c>
      <c r="U37" s="58">
        <f>Q9:Q62-R9:R62</f>
        <v>-10.65166667</v>
      </c>
      <c r="V37" s="59">
        <v>32.03</v>
      </c>
      <c r="W37" s="57">
        <f>V34:V37*(4/6)</f>
        <v>21.35333333</v>
      </c>
      <c r="X37" s="57">
        <f>Q2:Q67-W2:W67</f>
        <v>-5.338333333</v>
      </c>
      <c r="Y37" s="60" t="s">
        <v>49</v>
      </c>
      <c r="Z37" s="46"/>
      <c r="AA37" s="32"/>
    </row>
    <row r="38">
      <c r="A38" s="3" t="s">
        <v>186</v>
      </c>
      <c r="B38" s="62">
        <v>39506.0</v>
      </c>
      <c r="C38" s="3" t="s">
        <v>187</v>
      </c>
      <c r="D38" s="3" t="s">
        <v>188</v>
      </c>
      <c r="E38" s="3">
        <v>555659.0</v>
      </c>
      <c r="F38" s="3" t="s">
        <v>189</v>
      </c>
      <c r="G38" s="3" t="s">
        <v>47</v>
      </c>
      <c r="H38" s="3">
        <v>1.0</v>
      </c>
      <c r="I38" s="3" t="s">
        <v>190</v>
      </c>
      <c r="J38" s="39">
        <v>25.0</v>
      </c>
      <c r="K38" s="41">
        <f>SUM(N3:N67+O3:O67+P3:P67)</f>
        <v>32.03</v>
      </c>
      <c r="L38" s="39" t="s">
        <v>39</v>
      </c>
      <c r="M38" s="40">
        <v>3.05</v>
      </c>
      <c r="N38" s="41">
        <f>SUM(H2:H67*M2:M67)</f>
        <v>3.05</v>
      </c>
      <c r="O38" s="40">
        <v>27.98</v>
      </c>
      <c r="P38" s="40">
        <v>1.0</v>
      </c>
      <c r="Q38" s="38">
        <f>(K38:K57/2)</f>
        <v>16.015</v>
      </c>
      <c r="R38" s="42">
        <f>J38:J55/2</f>
        <v>12.5</v>
      </c>
      <c r="S38" s="40" t="s">
        <v>39</v>
      </c>
      <c r="T38" s="40">
        <v>11.0</v>
      </c>
      <c r="U38" s="45">
        <f>Q9:Q62-R9:R62</f>
        <v>3.515</v>
      </c>
      <c r="V38" s="43">
        <v>25.0</v>
      </c>
      <c r="W38" s="43">
        <f>V38:V57/2</f>
        <v>12.5</v>
      </c>
      <c r="X38" s="44" t="s">
        <v>49</v>
      </c>
      <c r="Y38" s="45">
        <f>R2:R67-W2:W67</f>
        <v>0</v>
      </c>
      <c r="Z38" s="46"/>
      <c r="AA38" s="32"/>
    </row>
    <row r="39">
      <c r="A39" s="3" t="s">
        <v>191</v>
      </c>
      <c r="B39" s="62">
        <v>41092.0</v>
      </c>
      <c r="C39" s="3" t="s">
        <v>192</v>
      </c>
      <c r="D39" s="3" t="s">
        <v>193</v>
      </c>
      <c r="E39" s="3" t="s">
        <v>76</v>
      </c>
      <c r="F39" s="3" t="s">
        <v>194</v>
      </c>
      <c r="G39" s="100" t="s">
        <v>47</v>
      </c>
      <c r="H39" s="3">
        <v>1.0</v>
      </c>
      <c r="I39" s="3" t="s">
        <v>190</v>
      </c>
      <c r="J39" s="51">
        <v>25.0</v>
      </c>
      <c r="K39" s="41">
        <f>SUM(N3:N67+O3:O67+P3:P67)</f>
        <v>32.03</v>
      </c>
      <c r="L39" s="39" t="s">
        <v>39</v>
      </c>
      <c r="M39" s="40">
        <v>3.05</v>
      </c>
      <c r="N39" s="41">
        <f>SUM(H2:H67*M2:M67)</f>
        <v>3.05</v>
      </c>
      <c r="O39" s="40">
        <v>27.98</v>
      </c>
      <c r="P39" s="40">
        <v>1.0</v>
      </c>
      <c r="Q39" s="41">
        <f>(K38:K57/2)</f>
        <v>16.015</v>
      </c>
      <c r="R39" s="45">
        <f>J38:J55/2</f>
        <v>12.5</v>
      </c>
      <c r="S39" s="40" t="s">
        <v>39</v>
      </c>
      <c r="T39" s="40">
        <v>11.0</v>
      </c>
      <c r="U39" s="45">
        <f>Q9:Q62-R9:R62</f>
        <v>3.515</v>
      </c>
      <c r="V39" s="43">
        <v>25.0</v>
      </c>
      <c r="W39" s="45">
        <f>V38:V57/2</f>
        <v>12.5</v>
      </c>
      <c r="X39" s="44" t="s">
        <v>49</v>
      </c>
      <c r="Y39" s="45">
        <f>R2:R67-W2:W67</f>
        <v>0</v>
      </c>
      <c r="Z39" s="46"/>
      <c r="AA39" s="17" t="s">
        <v>195</v>
      </c>
      <c r="AB39" s="27" t="s">
        <v>196</v>
      </c>
    </row>
    <row r="40">
      <c r="A40" s="101" t="s">
        <v>197</v>
      </c>
      <c r="B40" s="62">
        <v>39090.0</v>
      </c>
      <c r="C40" s="3" t="s">
        <v>198</v>
      </c>
      <c r="D40" s="3" t="s">
        <v>199</v>
      </c>
      <c r="E40" s="3" t="s">
        <v>76</v>
      </c>
      <c r="F40" s="3" t="s">
        <v>200</v>
      </c>
      <c r="G40" s="3" t="s">
        <v>47</v>
      </c>
      <c r="H40" s="3">
        <v>1.0</v>
      </c>
      <c r="I40" s="3" t="s">
        <v>190</v>
      </c>
      <c r="J40" s="39">
        <v>25.0</v>
      </c>
      <c r="K40" s="41">
        <f>SUM(N3:N67+O3:O67+P3:P67)</f>
        <v>32.03</v>
      </c>
      <c r="L40" s="39" t="s">
        <v>39</v>
      </c>
      <c r="M40" s="40">
        <v>3.05</v>
      </c>
      <c r="N40" s="41">
        <f>SUM(H2:H67*M2:M67)</f>
        <v>3.05</v>
      </c>
      <c r="O40" s="40">
        <v>27.98</v>
      </c>
      <c r="P40" s="40">
        <v>1.0</v>
      </c>
      <c r="Q40" s="41">
        <f>(K38:K57/2)</f>
        <v>16.015</v>
      </c>
      <c r="R40" s="45">
        <f>J38:J55/2</f>
        <v>12.5</v>
      </c>
      <c r="S40" s="40" t="s">
        <v>39</v>
      </c>
      <c r="T40" s="40">
        <v>11.0</v>
      </c>
      <c r="U40" s="45">
        <f>Q9:Q62-R9:R62</f>
        <v>3.515</v>
      </c>
      <c r="V40" s="43">
        <v>25.0</v>
      </c>
      <c r="W40" s="45">
        <f>V38:V57/2</f>
        <v>12.5</v>
      </c>
      <c r="X40" s="44" t="s">
        <v>49</v>
      </c>
      <c r="Y40" s="45">
        <f>R2:R67-W2:W67</f>
        <v>0</v>
      </c>
      <c r="Z40" s="46"/>
      <c r="AA40" s="102">
        <f>SUM(R3:R4)+SUM(R9:R27)+SUM(R34:R35)+SUM(R38:R55)+SUM(R62:R67)</f>
        <v>1505.833333</v>
      </c>
      <c r="AB40" s="70">
        <f>AA40*12</f>
        <v>18070</v>
      </c>
    </row>
    <row r="41">
      <c r="A41" s="3" t="s">
        <v>201</v>
      </c>
      <c r="B41" s="62">
        <v>38950.0</v>
      </c>
      <c r="C41" s="3" t="s">
        <v>202</v>
      </c>
      <c r="D41" s="3" t="s">
        <v>203</v>
      </c>
      <c r="E41" s="3">
        <v>601862.0</v>
      </c>
      <c r="F41" s="3" t="s">
        <v>204</v>
      </c>
      <c r="G41" s="3" t="s">
        <v>47</v>
      </c>
      <c r="H41" s="3">
        <v>1.0</v>
      </c>
      <c r="I41" s="3" t="s">
        <v>190</v>
      </c>
      <c r="J41" s="39">
        <v>25.0</v>
      </c>
      <c r="K41" s="41">
        <f>SUM(N3:N67+O3:O67+P3:P67)</f>
        <v>32.03</v>
      </c>
      <c r="L41" s="39" t="s">
        <v>39</v>
      </c>
      <c r="M41" s="40">
        <v>3.05</v>
      </c>
      <c r="N41" s="41">
        <f>SUM(H2:H67*M2:M67)</f>
        <v>3.05</v>
      </c>
      <c r="O41" s="40">
        <v>27.98</v>
      </c>
      <c r="P41" s="40">
        <v>1.0</v>
      </c>
      <c r="Q41" s="41">
        <f>(K38:K57/2)</f>
        <v>16.015</v>
      </c>
      <c r="R41" s="45">
        <f>J38:J55/2</f>
        <v>12.5</v>
      </c>
      <c r="S41" s="40" t="s">
        <v>39</v>
      </c>
      <c r="T41" s="40">
        <v>11.0</v>
      </c>
      <c r="U41" s="45">
        <f>Q9:Q62-R9:R62</f>
        <v>3.515</v>
      </c>
      <c r="V41" s="43">
        <v>25.0</v>
      </c>
      <c r="W41" s="45">
        <f>V38:V57/2</f>
        <v>12.5</v>
      </c>
      <c r="X41" s="44" t="s">
        <v>49</v>
      </c>
      <c r="Y41" s="45">
        <f>R2:R67-W2:W67</f>
        <v>0</v>
      </c>
      <c r="Z41" s="46"/>
      <c r="AA41" s="17"/>
    </row>
    <row r="42">
      <c r="A42" s="3" t="s">
        <v>205</v>
      </c>
      <c r="B42" s="62">
        <v>41641.0</v>
      </c>
      <c r="C42" s="3" t="s">
        <v>206</v>
      </c>
      <c r="D42" s="3" t="s">
        <v>207</v>
      </c>
      <c r="E42" s="3">
        <v>599357.0</v>
      </c>
      <c r="F42" s="3" t="s">
        <v>208</v>
      </c>
      <c r="G42" s="3" t="s">
        <v>54</v>
      </c>
      <c r="H42" s="3">
        <v>1.0</v>
      </c>
      <c r="I42" s="3" t="s">
        <v>190</v>
      </c>
      <c r="J42" s="39">
        <v>40.0</v>
      </c>
      <c r="K42" s="41">
        <f>SUM(N3:N67+O3:O67+P3:P67)</f>
        <v>32.03</v>
      </c>
      <c r="L42" s="45">
        <f>SUM(S2:S67+T2:T67)</f>
        <v>67.63</v>
      </c>
      <c r="M42" s="40">
        <v>4.09</v>
      </c>
      <c r="N42" s="41">
        <f>SUM(H2:H67*M2:M67)</f>
        <v>4.09</v>
      </c>
      <c r="O42" s="40">
        <v>26.94</v>
      </c>
      <c r="P42" s="40">
        <v>1.0</v>
      </c>
      <c r="Q42" s="41">
        <f>(K38:K57/2)</f>
        <v>16.015</v>
      </c>
      <c r="R42" s="45">
        <f>J38:J55/2</f>
        <v>20</v>
      </c>
      <c r="S42" s="40">
        <v>56.63</v>
      </c>
      <c r="T42" s="40">
        <v>11.0</v>
      </c>
      <c r="U42" s="103">
        <f>Q9:Q62-R9:R62</f>
        <v>-3.985</v>
      </c>
      <c r="V42" s="54">
        <v>32.03</v>
      </c>
      <c r="W42" s="45">
        <f>V38:V57/2</f>
        <v>16.015</v>
      </c>
      <c r="X42" s="44" t="s">
        <v>49</v>
      </c>
      <c r="Y42" s="45">
        <f>R2:R67-W2:W67</f>
        <v>3.985</v>
      </c>
      <c r="Z42" s="46"/>
      <c r="AA42" s="17"/>
    </row>
    <row r="43">
      <c r="A43" s="3" t="s">
        <v>209</v>
      </c>
      <c r="B43" s="62">
        <v>39874.0</v>
      </c>
      <c r="C43" s="3" t="s">
        <v>210</v>
      </c>
      <c r="D43" s="3" t="s">
        <v>211</v>
      </c>
      <c r="E43" s="3">
        <v>594738.0</v>
      </c>
      <c r="F43" s="3" t="s">
        <v>212</v>
      </c>
      <c r="G43" s="3" t="s">
        <v>47</v>
      </c>
      <c r="H43" s="3">
        <v>1.0</v>
      </c>
      <c r="I43" s="3" t="s">
        <v>190</v>
      </c>
      <c r="J43" s="39">
        <v>25.0</v>
      </c>
      <c r="K43" s="41">
        <f>SUM(N3:N67+O3:O67+P3:P67)</f>
        <v>32.03</v>
      </c>
      <c r="L43" s="39" t="s">
        <v>39</v>
      </c>
      <c r="M43" s="40">
        <v>3.05</v>
      </c>
      <c r="N43" s="41">
        <f>SUM(H2:H67*M2:M67)</f>
        <v>3.05</v>
      </c>
      <c r="O43" s="40">
        <v>27.98</v>
      </c>
      <c r="P43" s="40">
        <v>1.0</v>
      </c>
      <c r="Q43" s="41">
        <f>(K38:K57/2)</f>
        <v>16.015</v>
      </c>
      <c r="R43" s="45">
        <f>J38:J55/2</f>
        <v>12.5</v>
      </c>
      <c r="S43" s="40" t="s">
        <v>39</v>
      </c>
      <c r="T43" s="40">
        <v>11.0</v>
      </c>
      <c r="U43" s="45">
        <f>Q9:Q62-R9:R62</f>
        <v>3.515</v>
      </c>
      <c r="V43" s="43">
        <v>25.0</v>
      </c>
      <c r="W43" s="45">
        <f>V38:V57/2</f>
        <v>12.5</v>
      </c>
      <c r="X43" s="44" t="s">
        <v>49</v>
      </c>
      <c r="Y43" s="45">
        <f>R2:R67-W2:W67</f>
        <v>0</v>
      </c>
      <c r="Z43" s="46"/>
      <c r="AA43" s="17" t="s">
        <v>213</v>
      </c>
      <c r="AB43" s="104">
        <f>SUM(W3:W4)+SUM(W9:W27)+SUM(W34:W35)+SUM(W38:W55)+SUM(W62:W67)</f>
        <v>1061.571667</v>
      </c>
    </row>
    <row r="44">
      <c r="A44" s="3" t="s">
        <v>214</v>
      </c>
      <c r="B44" s="62">
        <v>39260.0</v>
      </c>
      <c r="C44" s="3" t="s">
        <v>215</v>
      </c>
      <c r="D44" s="3" t="s">
        <v>216</v>
      </c>
      <c r="E44" s="3" t="s">
        <v>76</v>
      </c>
      <c r="F44" s="3" t="s">
        <v>217</v>
      </c>
      <c r="G44" s="3" t="s">
        <v>47</v>
      </c>
      <c r="H44" s="3">
        <v>1.0</v>
      </c>
      <c r="I44" s="3" t="s">
        <v>190</v>
      </c>
      <c r="J44" s="39">
        <v>25.0</v>
      </c>
      <c r="K44" s="41">
        <f>SUM(N3:N67+O3:O67+P3:P67)</f>
        <v>32.03</v>
      </c>
      <c r="L44" s="39" t="s">
        <v>39</v>
      </c>
      <c r="M44" s="40">
        <v>3.05</v>
      </c>
      <c r="N44" s="41">
        <f>SUM(H2:H67*M2:M67)</f>
        <v>3.05</v>
      </c>
      <c r="O44" s="40">
        <v>27.98</v>
      </c>
      <c r="P44" s="40">
        <v>1.0</v>
      </c>
      <c r="Q44" s="41">
        <f>(K38:K57/2)</f>
        <v>16.015</v>
      </c>
      <c r="R44" s="45">
        <f>J38:J55/2</f>
        <v>12.5</v>
      </c>
      <c r="S44" s="40" t="s">
        <v>39</v>
      </c>
      <c r="T44" s="40">
        <v>11.0</v>
      </c>
      <c r="U44" s="45">
        <f>Q9:Q62-R9:R62</f>
        <v>3.515</v>
      </c>
      <c r="V44" s="43">
        <v>25.0</v>
      </c>
      <c r="W44" s="45">
        <f>V38:V57/2</f>
        <v>12.5</v>
      </c>
      <c r="X44" s="44" t="s">
        <v>49</v>
      </c>
      <c r="Y44" s="45">
        <f>R2:R67-W2:W67</f>
        <v>0</v>
      </c>
      <c r="Z44" s="46"/>
      <c r="AA44" s="32"/>
      <c r="AB44" s="105"/>
    </row>
    <row r="45">
      <c r="A45" s="3" t="s">
        <v>218</v>
      </c>
      <c r="B45" s="62">
        <v>42032.0</v>
      </c>
      <c r="C45" s="3" t="s">
        <v>219</v>
      </c>
      <c r="D45" s="3" t="s">
        <v>220</v>
      </c>
      <c r="E45" s="3">
        <v>598751.0</v>
      </c>
      <c r="F45" s="3" t="s">
        <v>221</v>
      </c>
      <c r="G45" s="3" t="s">
        <v>54</v>
      </c>
      <c r="H45" s="3">
        <v>1.0</v>
      </c>
      <c r="I45" s="3" t="s">
        <v>190</v>
      </c>
      <c r="J45" s="39">
        <v>40.0</v>
      </c>
      <c r="K45" s="41">
        <f>SUM(N3:N67+O3:O67+P3:P67)</f>
        <v>32.03</v>
      </c>
      <c r="L45" s="45">
        <f>SUM(S2:S67+T2:T67)</f>
        <v>67.63</v>
      </c>
      <c r="M45" s="40">
        <v>4.09</v>
      </c>
      <c r="N45" s="41">
        <f>SUM(H2:H67*M2:M67)</f>
        <v>4.09</v>
      </c>
      <c r="O45" s="40">
        <v>26.94</v>
      </c>
      <c r="P45" s="40">
        <v>1.0</v>
      </c>
      <c r="Q45" s="41">
        <f>(K38:K57/2)</f>
        <v>16.015</v>
      </c>
      <c r="R45" s="45">
        <f>J38:J55/2</f>
        <v>20</v>
      </c>
      <c r="S45" s="40">
        <v>56.63</v>
      </c>
      <c r="T45" s="40">
        <v>11.0</v>
      </c>
      <c r="U45" s="103">
        <f>Q9:Q62-R9:R62</f>
        <v>-3.985</v>
      </c>
      <c r="V45" s="54">
        <v>32.03</v>
      </c>
      <c r="W45" s="45">
        <f>V38:V57/2</f>
        <v>16.015</v>
      </c>
      <c r="X45" s="44" t="s">
        <v>49</v>
      </c>
      <c r="Y45" s="45">
        <f>R2:R67-W2:W67</f>
        <v>3.985</v>
      </c>
      <c r="Z45" s="46"/>
      <c r="AA45" s="17"/>
      <c r="AB45" s="105"/>
    </row>
    <row r="46">
      <c r="A46" s="3" t="s">
        <v>222</v>
      </c>
      <c r="B46" s="62">
        <v>38582.0</v>
      </c>
      <c r="C46" s="3" t="s">
        <v>223</v>
      </c>
      <c r="D46" s="3" t="s">
        <v>224</v>
      </c>
      <c r="E46" s="3">
        <v>581338.0</v>
      </c>
      <c r="F46" s="3" t="s">
        <v>225</v>
      </c>
      <c r="G46" s="3" t="s">
        <v>47</v>
      </c>
      <c r="H46" s="3">
        <v>1.0</v>
      </c>
      <c r="I46" s="3" t="s">
        <v>190</v>
      </c>
      <c r="J46" s="39">
        <v>25.0</v>
      </c>
      <c r="K46" s="41">
        <f>SUM(N3:N67+O3:O67+P3:P67)</f>
        <v>32.03</v>
      </c>
      <c r="L46" s="39" t="s">
        <v>39</v>
      </c>
      <c r="M46" s="40">
        <v>3.05</v>
      </c>
      <c r="N46" s="41">
        <f>SUM(H2:H67*M2:M67)</f>
        <v>3.05</v>
      </c>
      <c r="O46" s="40">
        <v>27.98</v>
      </c>
      <c r="P46" s="40">
        <v>1.0</v>
      </c>
      <c r="Q46" s="41">
        <f>(K38:K57/2)</f>
        <v>16.015</v>
      </c>
      <c r="R46" s="45">
        <f>J38:J55/2</f>
        <v>12.5</v>
      </c>
      <c r="S46" s="40" t="s">
        <v>39</v>
      </c>
      <c r="T46" s="40">
        <v>11.0</v>
      </c>
      <c r="U46" s="45">
        <f>Q9:Q62-R9:R62</f>
        <v>3.515</v>
      </c>
      <c r="V46" s="43">
        <v>25.0</v>
      </c>
      <c r="W46" s="45">
        <f>V38:V57/2</f>
        <v>12.5</v>
      </c>
      <c r="X46" s="44" t="s">
        <v>49</v>
      </c>
      <c r="Y46" s="45">
        <f>R2:R67-W2:W67</f>
        <v>0</v>
      </c>
      <c r="Z46" s="46"/>
      <c r="AA46" s="17" t="s">
        <v>226</v>
      </c>
      <c r="AB46" s="104">
        <f>AA40-AB43</f>
        <v>444.2616667</v>
      </c>
    </row>
    <row r="47">
      <c r="A47" s="3" t="s">
        <v>227</v>
      </c>
      <c r="B47" s="62">
        <v>38790.0</v>
      </c>
      <c r="C47" s="3" t="s">
        <v>228</v>
      </c>
      <c r="D47" s="3" t="s">
        <v>229</v>
      </c>
      <c r="E47" s="3" t="s">
        <v>76</v>
      </c>
      <c r="F47" s="3" t="s">
        <v>230</v>
      </c>
      <c r="G47" s="3" t="s">
        <v>47</v>
      </c>
      <c r="H47" s="3">
        <v>1.0</v>
      </c>
      <c r="I47" s="3" t="s">
        <v>190</v>
      </c>
      <c r="J47" s="39">
        <v>25.0</v>
      </c>
      <c r="K47" s="41">
        <f>SUM(N3:N67+O3:O67+P3:P67)</f>
        <v>32.03</v>
      </c>
      <c r="L47" s="39" t="s">
        <v>39</v>
      </c>
      <c r="M47" s="40">
        <v>3.05</v>
      </c>
      <c r="N47" s="41">
        <f>SUM(H2:H67*M2:M67)</f>
        <v>3.05</v>
      </c>
      <c r="O47" s="40">
        <v>27.98</v>
      </c>
      <c r="P47" s="40">
        <v>1.0</v>
      </c>
      <c r="Q47" s="41">
        <f>(K38:K57/2)</f>
        <v>16.015</v>
      </c>
      <c r="R47" s="45">
        <f>J38:J55/2</f>
        <v>12.5</v>
      </c>
      <c r="S47" s="40" t="s">
        <v>39</v>
      </c>
      <c r="T47" s="40">
        <v>11.0</v>
      </c>
      <c r="U47" s="45">
        <f>Q9:Q62-R9:R62</f>
        <v>3.515</v>
      </c>
      <c r="V47" s="43">
        <v>25.0</v>
      </c>
      <c r="W47" s="45">
        <f>V38:V57/2</f>
        <v>12.5</v>
      </c>
      <c r="X47" s="44" t="s">
        <v>49</v>
      </c>
      <c r="Y47" s="45">
        <f>R2:R67-W2:W67</f>
        <v>0</v>
      </c>
      <c r="Z47" s="46"/>
      <c r="AA47" s="17"/>
      <c r="AB47" s="105"/>
    </row>
    <row r="48">
      <c r="A48" s="3" t="s">
        <v>231</v>
      </c>
      <c r="B48" s="62">
        <v>42285.0</v>
      </c>
      <c r="C48" s="3" t="s">
        <v>232</v>
      </c>
      <c r="D48" s="3" t="s">
        <v>233</v>
      </c>
      <c r="E48" s="3">
        <v>564226.0</v>
      </c>
      <c r="F48" s="3" t="s">
        <v>234</v>
      </c>
      <c r="G48" s="3" t="s">
        <v>47</v>
      </c>
      <c r="H48" s="3">
        <v>1.0</v>
      </c>
      <c r="I48" s="3" t="s">
        <v>190</v>
      </c>
      <c r="J48" s="39">
        <v>25.0</v>
      </c>
      <c r="K48" s="41">
        <f>SUM(N3:N67+O3:O67+P3:P67)</f>
        <v>32.03</v>
      </c>
      <c r="L48" s="39" t="s">
        <v>39</v>
      </c>
      <c r="M48" s="40">
        <v>3.05</v>
      </c>
      <c r="N48" s="41">
        <f>SUM(H2:H67*M2:M67)</f>
        <v>3.05</v>
      </c>
      <c r="O48" s="40">
        <v>27.98</v>
      </c>
      <c r="P48" s="40">
        <v>1.0</v>
      </c>
      <c r="Q48" s="41">
        <f>(K38:K57/2)</f>
        <v>16.015</v>
      </c>
      <c r="R48" s="45">
        <f>J38:J55/2</f>
        <v>12.5</v>
      </c>
      <c r="S48" s="40" t="s">
        <v>39</v>
      </c>
      <c r="T48" s="40">
        <v>11.0</v>
      </c>
      <c r="U48" s="45">
        <f>Q9:Q62-R9:R62</f>
        <v>3.515</v>
      </c>
      <c r="V48" s="43">
        <v>25.0</v>
      </c>
      <c r="W48" s="45">
        <f>V38:V57/2</f>
        <v>12.5</v>
      </c>
      <c r="X48" s="44" t="s">
        <v>49</v>
      </c>
      <c r="Y48" s="45">
        <f>R2:R67-W2:W67</f>
        <v>0</v>
      </c>
      <c r="Z48" s="46"/>
      <c r="AA48" s="17" t="s">
        <v>235</v>
      </c>
      <c r="AB48" s="104">
        <f>AB46*12</f>
        <v>5331.14</v>
      </c>
    </row>
    <row r="49">
      <c r="A49" s="3" t="s">
        <v>236</v>
      </c>
      <c r="B49" s="62">
        <v>40662.0</v>
      </c>
      <c r="C49" s="3" t="s">
        <v>237</v>
      </c>
      <c r="D49" s="3" t="s">
        <v>238</v>
      </c>
      <c r="E49" s="3">
        <v>561899.0</v>
      </c>
      <c r="F49" s="3" t="s">
        <v>239</v>
      </c>
      <c r="G49" s="3" t="s">
        <v>47</v>
      </c>
      <c r="H49" s="3">
        <v>1.0</v>
      </c>
      <c r="I49" s="3" t="s">
        <v>190</v>
      </c>
      <c r="J49" s="39">
        <v>25.0</v>
      </c>
      <c r="K49" s="41">
        <f>SUM(N3:N67+O3:O67+P3:P67)</f>
        <v>32.03</v>
      </c>
      <c r="L49" s="39" t="s">
        <v>39</v>
      </c>
      <c r="M49" s="40">
        <v>3.05</v>
      </c>
      <c r="N49" s="41">
        <f>SUM(H2:H67*M2:M67)</f>
        <v>3.05</v>
      </c>
      <c r="O49" s="40">
        <v>27.98</v>
      </c>
      <c r="P49" s="40">
        <v>1.0</v>
      </c>
      <c r="Q49" s="41">
        <f>(K38:K57/2)</f>
        <v>16.015</v>
      </c>
      <c r="R49" s="45">
        <f>J38:J55/2</f>
        <v>12.5</v>
      </c>
      <c r="S49" s="40" t="s">
        <v>39</v>
      </c>
      <c r="T49" s="40">
        <v>11.0</v>
      </c>
      <c r="U49" s="45">
        <f>Q9:Q62-R9:R62</f>
        <v>3.515</v>
      </c>
      <c r="V49" s="43">
        <v>25.0</v>
      </c>
      <c r="W49" s="45">
        <f>V38:V57/2</f>
        <v>12.5</v>
      </c>
      <c r="X49" s="44" t="s">
        <v>49</v>
      </c>
      <c r="Y49" s="45">
        <f>R2:R67-W2:W67</f>
        <v>0</v>
      </c>
      <c r="Z49" s="46"/>
      <c r="AA49" s="32"/>
    </row>
    <row r="50">
      <c r="A50" s="3" t="s">
        <v>240</v>
      </c>
      <c r="B50" s="62">
        <v>38841.0</v>
      </c>
      <c r="C50" s="3" t="s">
        <v>241</v>
      </c>
      <c r="D50" s="3" t="s">
        <v>242</v>
      </c>
      <c r="E50" s="3">
        <v>520602.0</v>
      </c>
      <c r="F50" s="3" t="s">
        <v>243</v>
      </c>
      <c r="G50" s="3" t="s">
        <v>54</v>
      </c>
      <c r="H50" s="3">
        <v>1.0</v>
      </c>
      <c r="I50" s="3" t="s">
        <v>190</v>
      </c>
      <c r="J50" s="39">
        <v>40.0</v>
      </c>
      <c r="K50" s="41">
        <f>SUM(N3:N67+O3:O67+P3:P67)</f>
        <v>32.03</v>
      </c>
      <c r="L50" s="45">
        <f>SUM(S2:S67+T2:T67)</f>
        <v>67.63</v>
      </c>
      <c r="M50" s="40">
        <v>4.09</v>
      </c>
      <c r="N50" s="41">
        <f>SUM(H2:H67*M2:M67)</f>
        <v>4.09</v>
      </c>
      <c r="O50" s="40">
        <v>26.94</v>
      </c>
      <c r="P50" s="40">
        <v>1.0</v>
      </c>
      <c r="Q50" s="41">
        <f>(K38:K57/2)</f>
        <v>16.015</v>
      </c>
      <c r="R50" s="45">
        <f>J38:J55/2</f>
        <v>20</v>
      </c>
      <c r="S50" s="40">
        <v>56.63</v>
      </c>
      <c r="T50" s="40">
        <v>11.0</v>
      </c>
      <c r="U50" s="103">
        <f>Q9:Q62-R9:R62</f>
        <v>-3.985</v>
      </c>
      <c r="V50" s="54">
        <v>32.03</v>
      </c>
      <c r="W50" s="45">
        <f>V38:V57/2</f>
        <v>16.015</v>
      </c>
      <c r="X50" s="44" t="s">
        <v>49</v>
      </c>
      <c r="Y50" s="45">
        <f>R2:R67-W2:W67</f>
        <v>3.985</v>
      </c>
      <c r="Z50" s="46"/>
      <c r="AA50" s="17" t="s">
        <v>244</v>
      </c>
      <c r="AB50" s="70">
        <f>12*(AA19+AA31+AA40)</f>
        <v>26337.36</v>
      </c>
    </row>
    <row r="51">
      <c r="A51" s="3" t="s">
        <v>245</v>
      </c>
      <c r="B51" s="62">
        <v>41513.0</v>
      </c>
      <c r="C51" s="3" t="s">
        <v>246</v>
      </c>
      <c r="D51" s="3" t="s">
        <v>247</v>
      </c>
      <c r="E51" s="3" t="s">
        <v>76</v>
      </c>
      <c r="F51" s="3" t="s">
        <v>248</v>
      </c>
      <c r="G51" s="3" t="s">
        <v>47</v>
      </c>
      <c r="H51" s="3">
        <v>1.0</v>
      </c>
      <c r="I51" s="3" t="s">
        <v>190</v>
      </c>
      <c r="J51" s="39">
        <v>25.0</v>
      </c>
      <c r="K51" s="41">
        <f>SUM(N3:N67+O3:O67+P3:P67)</f>
        <v>32.03</v>
      </c>
      <c r="L51" s="39" t="s">
        <v>39</v>
      </c>
      <c r="M51" s="40">
        <v>3.05</v>
      </c>
      <c r="N51" s="41">
        <f>SUM(H2:H67*M2:M67)</f>
        <v>3.05</v>
      </c>
      <c r="O51" s="40">
        <v>27.98</v>
      </c>
      <c r="P51" s="40">
        <v>1.0</v>
      </c>
      <c r="Q51" s="41">
        <f>(K38:K57/2)</f>
        <v>16.015</v>
      </c>
      <c r="R51" s="45">
        <f>J38:J55/2</f>
        <v>12.5</v>
      </c>
      <c r="S51" s="40" t="s">
        <v>39</v>
      </c>
      <c r="T51" s="40">
        <v>11.0</v>
      </c>
      <c r="U51" s="106">
        <f>Q9:Q62-R9:R62</f>
        <v>3.515</v>
      </c>
      <c r="V51" s="43">
        <v>25.0</v>
      </c>
      <c r="W51" s="45">
        <f>V38:V57/2</f>
        <v>12.5</v>
      </c>
      <c r="X51" s="44" t="s">
        <v>49</v>
      </c>
      <c r="Y51" s="45">
        <f>R2:R67-W2:W67</f>
        <v>0</v>
      </c>
      <c r="Z51" s="46"/>
      <c r="AA51" s="17"/>
    </row>
    <row r="52">
      <c r="A52" s="3" t="s">
        <v>249</v>
      </c>
      <c r="B52" s="62">
        <v>41754.0</v>
      </c>
      <c r="C52" s="3" t="s">
        <v>250</v>
      </c>
      <c r="D52" s="3" t="s">
        <v>131</v>
      </c>
      <c r="E52" s="3">
        <v>594575.0</v>
      </c>
      <c r="F52" s="3" t="s">
        <v>251</v>
      </c>
      <c r="G52" s="3" t="s">
        <v>47</v>
      </c>
      <c r="H52" s="3">
        <v>1.0</v>
      </c>
      <c r="I52" s="3" t="s">
        <v>190</v>
      </c>
      <c r="J52" s="39">
        <v>25.0</v>
      </c>
      <c r="K52" s="41">
        <f>SUM(N3:N67+O3:O67+P3:P67)</f>
        <v>32.03</v>
      </c>
      <c r="L52" s="39" t="s">
        <v>39</v>
      </c>
      <c r="M52" s="40">
        <v>3.05</v>
      </c>
      <c r="N52" s="41">
        <f>SUM(H2:H67*M2:M67)</f>
        <v>3.05</v>
      </c>
      <c r="O52" s="40">
        <v>27.98</v>
      </c>
      <c r="P52" s="40">
        <v>1.0</v>
      </c>
      <c r="Q52" s="41">
        <f>(K38:K57/2)</f>
        <v>16.015</v>
      </c>
      <c r="R52" s="45">
        <f>J38:J55/2</f>
        <v>12.5</v>
      </c>
      <c r="S52" s="40" t="s">
        <v>39</v>
      </c>
      <c r="T52" s="40">
        <v>11.0</v>
      </c>
      <c r="U52" s="45">
        <f>Q9:Q62-R9:R62</f>
        <v>3.515</v>
      </c>
      <c r="V52" s="43">
        <v>25.0</v>
      </c>
      <c r="W52" s="45">
        <f>V38:V57/2</f>
        <v>12.5</v>
      </c>
      <c r="X52" s="44" t="s">
        <v>49</v>
      </c>
      <c r="Y52" s="45">
        <f>R2:R67-W2:W67</f>
        <v>0</v>
      </c>
      <c r="Z52" s="46"/>
      <c r="AA52" s="55" t="s">
        <v>252</v>
      </c>
      <c r="AB52" s="107">
        <f>AA24+AA36+AB48</f>
        <v>5988.424</v>
      </c>
    </row>
    <row r="53">
      <c r="A53" s="3" t="s">
        <v>253</v>
      </c>
      <c r="B53" s="62">
        <v>40277.0</v>
      </c>
      <c r="C53" s="3" t="s">
        <v>254</v>
      </c>
      <c r="D53" s="3" t="s">
        <v>255</v>
      </c>
      <c r="E53" s="3">
        <v>533563.0</v>
      </c>
      <c r="F53" s="3" t="s">
        <v>256</v>
      </c>
      <c r="G53" s="3" t="s">
        <v>47</v>
      </c>
      <c r="H53" s="3">
        <v>1.0</v>
      </c>
      <c r="I53" s="3" t="s">
        <v>190</v>
      </c>
      <c r="J53" s="39">
        <v>25.0</v>
      </c>
      <c r="K53" s="41">
        <f>SUM(N3:N67+O3:O67+P3:P67)</f>
        <v>32.03</v>
      </c>
      <c r="L53" s="39" t="s">
        <v>39</v>
      </c>
      <c r="M53" s="40">
        <v>3.05</v>
      </c>
      <c r="N53" s="41">
        <f>SUM(H2:H67*M2:M67)</f>
        <v>3.05</v>
      </c>
      <c r="O53" s="40">
        <v>27.98</v>
      </c>
      <c r="P53" s="40">
        <v>1.0</v>
      </c>
      <c r="Q53" s="41">
        <f>(K38:K57/2)</f>
        <v>16.015</v>
      </c>
      <c r="R53" s="45">
        <f>J38:J55/2</f>
        <v>12.5</v>
      </c>
      <c r="S53" s="40" t="s">
        <v>39</v>
      </c>
      <c r="T53" s="40">
        <v>11.0</v>
      </c>
      <c r="U53" s="45">
        <f>Q9:Q62-R9:R62</f>
        <v>3.515</v>
      </c>
      <c r="V53" s="43">
        <v>25.0</v>
      </c>
      <c r="W53" s="45">
        <f>V38:V57/2</f>
        <v>12.5</v>
      </c>
      <c r="X53" s="44" t="s">
        <v>49</v>
      </c>
      <c r="Y53" s="45">
        <f>R2:R67-W2:W67</f>
        <v>0</v>
      </c>
      <c r="Z53" s="46"/>
      <c r="AA53" s="32"/>
    </row>
    <row r="54">
      <c r="A54" s="18"/>
      <c r="B54" s="62">
        <v>40277.0</v>
      </c>
      <c r="C54" s="3" t="s">
        <v>254</v>
      </c>
      <c r="D54" s="3" t="s">
        <v>255</v>
      </c>
      <c r="E54" s="3">
        <v>533563.0</v>
      </c>
      <c r="F54" s="3" t="s">
        <v>256</v>
      </c>
      <c r="G54" s="3" t="s">
        <v>54</v>
      </c>
      <c r="H54" s="3">
        <v>1.0</v>
      </c>
      <c r="I54" s="3" t="s">
        <v>190</v>
      </c>
      <c r="J54" s="39">
        <v>40.0</v>
      </c>
      <c r="K54" s="41">
        <f>SUM(N3:N67+O3:O67+P3:P67)</f>
        <v>32.03</v>
      </c>
      <c r="L54" s="45">
        <f>SUM(S2:S67+T2:T67)</f>
        <v>67.63</v>
      </c>
      <c r="M54" s="40">
        <v>4.09</v>
      </c>
      <c r="N54" s="41">
        <f>SUM(H2:H67*M2:M67)</f>
        <v>4.09</v>
      </c>
      <c r="O54" s="40">
        <v>26.94</v>
      </c>
      <c r="P54" s="40">
        <v>1.0</v>
      </c>
      <c r="Q54" s="41">
        <f>(K38:K57/2)</f>
        <v>16.015</v>
      </c>
      <c r="R54" s="45">
        <f>J38:J55/2</f>
        <v>20</v>
      </c>
      <c r="S54" s="40">
        <v>56.63</v>
      </c>
      <c r="T54" s="40">
        <v>11.0</v>
      </c>
      <c r="U54" s="103">
        <f>Q9:Q62-R9:R62</f>
        <v>-3.985</v>
      </c>
      <c r="V54" s="54">
        <v>32.03</v>
      </c>
      <c r="W54" s="45">
        <f>V38:V57/2</f>
        <v>16.015</v>
      </c>
      <c r="X54" s="44" t="s">
        <v>49</v>
      </c>
      <c r="Y54" s="45">
        <f>R2:R67-W2:W67</f>
        <v>3.985</v>
      </c>
      <c r="Z54" s="46"/>
      <c r="AA54" s="17" t="s">
        <v>257</v>
      </c>
    </row>
    <row r="55">
      <c r="A55" s="3" t="s">
        <v>258</v>
      </c>
      <c r="B55" s="62">
        <v>40667.0</v>
      </c>
      <c r="C55" s="3" t="s">
        <v>259</v>
      </c>
      <c r="D55" s="3" t="s">
        <v>260</v>
      </c>
      <c r="E55" s="3">
        <v>558904.0</v>
      </c>
      <c r="F55" s="3" t="s">
        <v>261</v>
      </c>
      <c r="G55" s="3" t="s">
        <v>54</v>
      </c>
      <c r="H55" s="3">
        <v>1.0</v>
      </c>
      <c r="I55" s="3" t="s">
        <v>190</v>
      </c>
      <c r="J55" s="39">
        <v>40.0</v>
      </c>
      <c r="K55" s="41">
        <f>SUM(N3:N67+O3:O67+P3:P67)</f>
        <v>32.03</v>
      </c>
      <c r="L55" s="45">
        <f>SUM(S2:S67+T2:T67)</f>
        <v>67.63</v>
      </c>
      <c r="M55" s="40">
        <v>4.09</v>
      </c>
      <c r="N55" s="41">
        <f>SUM(H2:H67*M2:M67)</f>
        <v>4.09</v>
      </c>
      <c r="O55" s="40">
        <v>26.94</v>
      </c>
      <c r="P55" s="40">
        <v>1.0</v>
      </c>
      <c r="Q55" s="41">
        <f>(K38:K57/2)</f>
        <v>16.015</v>
      </c>
      <c r="R55" s="45">
        <f>J38:J55/2</f>
        <v>20</v>
      </c>
      <c r="S55" s="40">
        <v>56.63</v>
      </c>
      <c r="T55" s="40">
        <v>11.0</v>
      </c>
      <c r="U55" s="103">
        <f>Q9:Q62-R9:R62</f>
        <v>-3.985</v>
      </c>
      <c r="V55" s="54">
        <v>32.03</v>
      </c>
      <c r="W55" s="45">
        <f>V38:V57/2</f>
        <v>16.015</v>
      </c>
      <c r="X55" s="44" t="s">
        <v>49</v>
      </c>
      <c r="Y55" s="45">
        <f>R2:R67-W2:W67</f>
        <v>3.985</v>
      </c>
      <c r="Z55" s="46"/>
      <c r="AA55" s="102">
        <f>W71</f>
        <v>20348.936</v>
      </c>
    </row>
    <row r="56">
      <c r="A56" s="18"/>
      <c r="B56" s="94"/>
      <c r="C56" s="3" t="s">
        <v>262</v>
      </c>
      <c r="D56" s="18"/>
      <c r="E56" s="3" t="s">
        <v>263</v>
      </c>
      <c r="F56" s="3" t="s">
        <v>264</v>
      </c>
      <c r="G56" s="20" t="s">
        <v>184</v>
      </c>
      <c r="H56" s="20">
        <v>1.0</v>
      </c>
      <c r="I56" s="20" t="s">
        <v>265</v>
      </c>
      <c r="J56" s="22">
        <v>25.0</v>
      </c>
      <c r="K56" s="57">
        <f>SUM(N3:N67+O3:O67+P3:P67)</f>
        <v>32.03</v>
      </c>
      <c r="L56" s="25" t="s">
        <v>39</v>
      </c>
      <c r="M56" s="25">
        <v>3.05</v>
      </c>
      <c r="N56" s="57">
        <f>SUM(H2:H67*M2:M67)</f>
        <v>3.05</v>
      </c>
      <c r="O56" s="25">
        <v>27.98</v>
      </c>
      <c r="P56" s="25">
        <v>1.0</v>
      </c>
      <c r="Q56" s="22">
        <v>16.02</v>
      </c>
      <c r="R56" s="22">
        <f>J56/2</f>
        <v>12.5</v>
      </c>
      <c r="S56" s="22" t="s">
        <v>39</v>
      </c>
      <c r="T56" s="22">
        <v>11.0</v>
      </c>
      <c r="U56" s="28">
        <f>Q56-R56</f>
        <v>3.52</v>
      </c>
      <c r="V56" s="28">
        <v>25.0</v>
      </c>
      <c r="W56" s="57">
        <f>V38:V57/2</f>
        <v>12.5</v>
      </c>
      <c r="X56" s="57">
        <f>Q2:Q67-W2:W67</f>
        <v>3.52</v>
      </c>
      <c r="Y56" s="60" t="s">
        <v>49</v>
      </c>
      <c r="Z56" s="46"/>
      <c r="AA56" s="32"/>
    </row>
    <row r="57">
      <c r="A57" s="18"/>
      <c r="B57" s="94"/>
      <c r="C57" s="3" t="s">
        <v>266</v>
      </c>
      <c r="D57" s="108"/>
      <c r="E57" s="3" t="s">
        <v>267</v>
      </c>
      <c r="F57" s="3" t="s">
        <v>183</v>
      </c>
      <c r="G57" s="20" t="s">
        <v>268</v>
      </c>
      <c r="H57" s="20">
        <v>4.0</v>
      </c>
      <c r="I57" s="20" t="s">
        <v>265</v>
      </c>
      <c r="J57" s="22">
        <v>40.0</v>
      </c>
      <c r="K57" s="60">
        <v>36.16</v>
      </c>
      <c r="L57" s="57">
        <f>SUM(S2:S67+T2:T67)</f>
        <v>67.63</v>
      </c>
      <c r="M57" s="25">
        <v>8.79</v>
      </c>
      <c r="N57" s="57">
        <f>SUM(H2:H67*M2:M67)</f>
        <v>35.16</v>
      </c>
      <c r="O57" s="25">
        <v>0.0</v>
      </c>
      <c r="P57" s="25">
        <v>1.0</v>
      </c>
      <c r="Q57" s="57">
        <f>(K38:K57/2)</f>
        <v>18.08</v>
      </c>
      <c r="R57" s="22">
        <v>17.58</v>
      </c>
      <c r="S57" s="22">
        <v>56.63</v>
      </c>
      <c r="T57" s="22">
        <v>11.0</v>
      </c>
      <c r="U57" s="57">
        <f>Q9:Q62-R9:R62</f>
        <v>0.5</v>
      </c>
      <c r="V57" s="59">
        <v>32.03</v>
      </c>
      <c r="W57" s="57">
        <f>V38:V57/2</f>
        <v>16.015</v>
      </c>
      <c r="X57" s="57">
        <f>Q2:Q67-W2:W67</f>
        <v>2.065</v>
      </c>
      <c r="Y57" s="60" t="s">
        <v>49</v>
      </c>
      <c r="Z57" s="46"/>
      <c r="AA57" s="32"/>
    </row>
    <row r="58">
      <c r="A58" s="18"/>
      <c r="B58" s="18"/>
      <c r="C58" s="3" t="s">
        <v>269</v>
      </c>
      <c r="D58" s="18"/>
      <c r="E58" s="3" t="s">
        <v>270</v>
      </c>
      <c r="F58" s="3" t="s">
        <v>271</v>
      </c>
      <c r="G58" s="20" t="s">
        <v>272</v>
      </c>
      <c r="H58" s="20">
        <v>2.0</v>
      </c>
      <c r="I58" s="20" t="s">
        <v>273</v>
      </c>
      <c r="J58" s="22">
        <v>40.0</v>
      </c>
      <c r="K58" s="57">
        <f>SUM(N3:N67+O3:O67+P3:P67)</f>
        <v>32.03</v>
      </c>
      <c r="L58" s="57">
        <f>SUM(S2:S67+T2:T67)</f>
        <v>67.63</v>
      </c>
      <c r="M58" s="25">
        <v>4.09</v>
      </c>
      <c r="N58" s="57">
        <f>SUM(H2:H67*M2:M67)</f>
        <v>8.18</v>
      </c>
      <c r="O58" s="25">
        <v>22.85</v>
      </c>
      <c r="P58" s="25">
        <v>1.0</v>
      </c>
      <c r="Q58" s="74">
        <f>(K58*4)/12</f>
        <v>10.67666667</v>
      </c>
      <c r="R58" s="22">
        <f>(J58*2*4)/12</f>
        <v>26.66666667</v>
      </c>
      <c r="S58" s="22">
        <v>56.63</v>
      </c>
      <c r="T58" s="22">
        <v>11.0</v>
      </c>
      <c r="U58" s="57">
        <f>Q9:Q62-R9:R62</f>
        <v>-15.99</v>
      </c>
      <c r="V58" s="59">
        <v>32.03</v>
      </c>
      <c r="W58" s="59">
        <f>V58:V61*(4/10)</f>
        <v>12.812</v>
      </c>
      <c r="X58" s="57">
        <f>Q2:Q67-W2:W67</f>
        <v>-2.135333333</v>
      </c>
      <c r="Y58" s="60" t="s">
        <v>49</v>
      </c>
      <c r="Z58" s="46"/>
      <c r="AA58" s="32"/>
    </row>
    <row r="59">
      <c r="A59" s="18"/>
      <c r="B59" s="18"/>
      <c r="C59" s="3" t="s">
        <v>274</v>
      </c>
      <c r="D59" s="18"/>
      <c r="E59" s="3" t="s">
        <v>275</v>
      </c>
      <c r="F59" s="3" t="s">
        <v>183</v>
      </c>
      <c r="G59" s="20" t="s">
        <v>59</v>
      </c>
      <c r="H59" s="20">
        <v>1.0</v>
      </c>
      <c r="I59" s="20" t="s">
        <v>273</v>
      </c>
      <c r="J59" s="22">
        <v>40.0</v>
      </c>
      <c r="K59" s="57">
        <f>SUM(N3:N67+O3:O67+P3:P67)</f>
        <v>32.03</v>
      </c>
      <c r="L59" s="57">
        <f>SUM(S2:S67+T2:T67)</f>
        <v>67.63</v>
      </c>
      <c r="M59" s="25">
        <v>4.09</v>
      </c>
      <c r="N59" s="57">
        <f>SUM(H2:H67*M2:M67)</f>
        <v>4.09</v>
      </c>
      <c r="O59" s="25">
        <v>26.94</v>
      </c>
      <c r="P59" s="25">
        <v>1.0</v>
      </c>
      <c r="Q59" s="57">
        <f>(K59:K61*4)/12</f>
        <v>10.67666667</v>
      </c>
      <c r="R59" s="26">
        <f>(J59*4)/12</f>
        <v>13.33333333</v>
      </c>
      <c r="S59" s="22">
        <v>56.63</v>
      </c>
      <c r="T59" s="22">
        <v>11.0</v>
      </c>
      <c r="U59" s="57">
        <f>Q9:Q62-R9:R62</f>
        <v>-2.656666667</v>
      </c>
      <c r="V59" s="59">
        <v>32.03</v>
      </c>
      <c r="W59" s="57">
        <f>V58:V61*(4/10)</f>
        <v>12.812</v>
      </c>
      <c r="X59" s="57">
        <f>Q2:Q67-W2:W67</f>
        <v>-2.135333333</v>
      </c>
      <c r="Y59" s="60" t="s">
        <v>49</v>
      </c>
      <c r="Z59" s="46"/>
      <c r="AA59" s="32"/>
    </row>
    <row r="60">
      <c r="A60" s="18"/>
      <c r="B60" s="18"/>
      <c r="C60" s="3" t="s">
        <v>276</v>
      </c>
      <c r="D60" s="18"/>
      <c r="E60" s="18"/>
      <c r="F60" s="3" t="s">
        <v>277</v>
      </c>
      <c r="G60" s="20" t="s">
        <v>272</v>
      </c>
      <c r="H60" s="20">
        <v>2.0</v>
      </c>
      <c r="I60" s="20" t="s">
        <v>273</v>
      </c>
      <c r="J60" s="22">
        <v>40.0</v>
      </c>
      <c r="K60" s="57">
        <f>SUM(N3:N67+O3:O67+P3:P67)</f>
        <v>32.03</v>
      </c>
      <c r="L60" s="57">
        <f>SUM(S2:S67+T2:T67)</f>
        <v>67.63</v>
      </c>
      <c r="M60" s="25">
        <v>4.09</v>
      </c>
      <c r="N60" s="57">
        <f>SUM(H2:H67*M2:M67)</f>
        <v>8.18</v>
      </c>
      <c r="O60" s="25">
        <v>22.85</v>
      </c>
      <c r="P60" s="25">
        <v>1.0</v>
      </c>
      <c r="Q60" s="109">
        <f>(K59:K61*4)/12</f>
        <v>10.67666667</v>
      </c>
      <c r="R60" s="26">
        <f>(J60*2*4)/12</f>
        <v>26.66666667</v>
      </c>
      <c r="S60" s="22">
        <v>56.63</v>
      </c>
      <c r="T60" s="22">
        <v>11.0</v>
      </c>
      <c r="U60" s="57">
        <f>Q9:Q62-R9:R62</f>
        <v>-15.99</v>
      </c>
      <c r="V60" s="59">
        <v>32.03</v>
      </c>
      <c r="W60" s="57">
        <f>V58:V61*(4/10)</f>
        <v>12.812</v>
      </c>
      <c r="X60" s="57">
        <f>Q2:Q67-W2:W67</f>
        <v>-2.135333333</v>
      </c>
      <c r="Y60" s="60" t="s">
        <v>49</v>
      </c>
      <c r="Z60" s="46"/>
      <c r="AA60" s="32"/>
    </row>
    <row r="61">
      <c r="A61" s="18"/>
      <c r="B61" s="18"/>
      <c r="C61" s="3" t="s">
        <v>278</v>
      </c>
      <c r="D61" s="18"/>
      <c r="E61" s="3" t="s">
        <v>279</v>
      </c>
      <c r="F61" s="3" t="s">
        <v>280</v>
      </c>
      <c r="G61" s="20" t="s">
        <v>59</v>
      </c>
      <c r="H61" s="20">
        <v>1.0</v>
      </c>
      <c r="I61" s="20" t="s">
        <v>273</v>
      </c>
      <c r="J61" s="22">
        <v>40.0</v>
      </c>
      <c r="K61" s="57">
        <f>SUM(N3:N67+O3:O67+P3:P67)</f>
        <v>32.03</v>
      </c>
      <c r="L61" s="57">
        <f>SUM(S2:S67+T2:T67)</f>
        <v>67.63</v>
      </c>
      <c r="M61" s="25">
        <v>4.09</v>
      </c>
      <c r="N61" s="57">
        <f>SUM(H2:H67*M2:M67)</f>
        <v>4.09</v>
      </c>
      <c r="O61" s="25">
        <v>26.94</v>
      </c>
      <c r="P61" s="25">
        <v>1.0</v>
      </c>
      <c r="Q61" s="109">
        <f>(K59:K61*4)/12</f>
        <v>10.67666667</v>
      </c>
      <c r="R61" s="26">
        <f>(J61*4)/12</f>
        <v>13.33333333</v>
      </c>
      <c r="S61" s="22">
        <v>56.63</v>
      </c>
      <c r="T61" s="22">
        <v>11.0</v>
      </c>
      <c r="U61" s="57">
        <f>Q9:Q62-R9:R62</f>
        <v>-2.656666667</v>
      </c>
      <c r="V61" s="59">
        <v>32.03</v>
      </c>
      <c r="W61" s="57">
        <f>V58:V61*(4/10)</f>
        <v>12.812</v>
      </c>
      <c r="X61" s="57">
        <f>Q2:Q67-W2:W67</f>
        <v>-2.135333333</v>
      </c>
      <c r="Y61" s="60" t="s">
        <v>49</v>
      </c>
      <c r="Z61" s="46"/>
      <c r="AA61" s="32"/>
    </row>
    <row r="62">
      <c r="A62" s="49" t="s">
        <v>281</v>
      </c>
      <c r="B62" s="86">
        <v>42500.0</v>
      </c>
      <c r="C62" s="50" t="s">
        <v>282</v>
      </c>
      <c r="D62" s="50" t="s">
        <v>283</v>
      </c>
      <c r="E62" s="50">
        <v>600358.0</v>
      </c>
      <c r="F62" s="50" t="s">
        <v>284</v>
      </c>
      <c r="G62" s="50" t="s">
        <v>54</v>
      </c>
      <c r="H62" s="3">
        <v>1.0</v>
      </c>
      <c r="I62" s="3" t="s">
        <v>285</v>
      </c>
      <c r="J62" s="51">
        <v>40.0</v>
      </c>
      <c r="K62" s="41">
        <f>SUM(N3:N67+O3:O67+P3:P67)</f>
        <v>32.03</v>
      </c>
      <c r="L62" s="45">
        <f>SUM(S2:S67+T2:T67)</f>
        <v>67.63</v>
      </c>
      <c r="M62" s="40">
        <v>4.09</v>
      </c>
      <c r="N62" s="41">
        <f>SUM(H2:H67*M2:M67)</f>
        <v>4.09</v>
      </c>
      <c r="O62" s="40">
        <v>26.94</v>
      </c>
      <c r="P62" s="40">
        <v>1.0</v>
      </c>
      <c r="Q62" s="38">
        <f>K62*(1/3)</f>
        <v>10.67666667</v>
      </c>
      <c r="R62" s="42">
        <f>J62*(1/3)</f>
        <v>13.33333333</v>
      </c>
      <c r="S62" s="40">
        <v>56.63</v>
      </c>
      <c r="T62" s="40">
        <v>11.0</v>
      </c>
      <c r="U62" s="103">
        <f>Q9:Q62-R9:R62</f>
        <v>-2.656666667</v>
      </c>
      <c r="V62" s="54">
        <v>32.03</v>
      </c>
      <c r="W62" s="54">
        <f>V62*(4/12)</f>
        <v>10.67666667</v>
      </c>
      <c r="X62" s="44" t="s">
        <v>49</v>
      </c>
      <c r="Y62" s="45">
        <f>R2:R67-W2:W67</f>
        <v>2.656666667</v>
      </c>
      <c r="Z62" s="46"/>
      <c r="AA62" s="32"/>
    </row>
    <row r="63">
      <c r="A63" s="3" t="s">
        <v>286</v>
      </c>
      <c r="B63" s="62">
        <v>42139.0</v>
      </c>
      <c r="C63" s="3" t="s">
        <v>287</v>
      </c>
      <c r="D63" s="3" t="s">
        <v>288</v>
      </c>
      <c r="E63" s="3" t="s">
        <v>76</v>
      </c>
      <c r="F63" s="3" t="s">
        <v>289</v>
      </c>
      <c r="G63" s="3" t="s">
        <v>54</v>
      </c>
      <c r="H63" s="3">
        <v>1.0</v>
      </c>
      <c r="I63" s="3" t="s">
        <v>290</v>
      </c>
      <c r="J63" s="39">
        <v>40.0</v>
      </c>
      <c r="K63" s="41">
        <f>SUM(N3:N67+O3:O67+P3:P67)</f>
        <v>32.03</v>
      </c>
      <c r="L63" s="45">
        <f>SUM(S2:S67+T2:T67)</f>
        <v>67.63</v>
      </c>
      <c r="M63" s="40">
        <v>4.09</v>
      </c>
      <c r="N63" s="41">
        <f>SUM(H2:H67*M2:M67)</f>
        <v>4.09</v>
      </c>
      <c r="O63" s="40">
        <v>26.94</v>
      </c>
      <c r="P63" s="40">
        <v>1.0</v>
      </c>
      <c r="Q63" s="110">
        <v>32.03</v>
      </c>
      <c r="R63" s="39">
        <v>40.0</v>
      </c>
      <c r="S63" s="40">
        <v>56.63</v>
      </c>
      <c r="T63" s="40">
        <v>11.0</v>
      </c>
      <c r="U63" s="111">
        <f>Q63:Q67-R63:R67</f>
        <v>-7.97</v>
      </c>
      <c r="V63" s="54">
        <v>32.03</v>
      </c>
      <c r="W63" s="54">
        <v>32.03</v>
      </c>
      <c r="X63" s="44" t="s">
        <v>49</v>
      </c>
      <c r="Y63" s="45">
        <f>R2:R67-W2:W67</f>
        <v>7.97</v>
      </c>
      <c r="Z63" s="46"/>
      <c r="AA63" s="32"/>
    </row>
    <row r="64">
      <c r="A64" s="3" t="s">
        <v>291</v>
      </c>
      <c r="B64" s="62">
        <v>38762.0</v>
      </c>
      <c r="C64" s="3" t="s">
        <v>292</v>
      </c>
      <c r="D64" s="3" t="s">
        <v>293</v>
      </c>
      <c r="E64" s="3">
        <v>452990.0</v>
      </c>
      <c r="F64" s="3" t="s">
        <v>294</v>
      </c>
      <c r="G64" s="3" t="s">
        <v>54</v>
      </c>
      <c r="H64" s="3">
        <v>1.0</v>
      </c>
      <c r="I64" s="3" t="s">
        <v>290</v>
      </c>
      <c r="J64" s="39">
        <v>40.0</v>
      </c>
      <c r="K64" s="41">
        <f>SUM(N3:N67+O3:O67+P3:P67)</f>
        <v>32.03</v>
      </c>
      <c r="L64" s="45">
        <f>SUM(S2:S67+T2:T67)</f>
        <v>67.63</v>
      </c>
      <c r="M64" s="40">
        <v>4.09</v>
      </c>
      <c r="N64" s="41">
        <f>SUM(H2:H67*M2:M67)</f>
        <v>4.09</v>
      </c>
      <c r="O64" s="40">
        <v>26.94</v>
      </c>
      <c r="P64" s="40">
        <v>1.0</v>
      </c>
      <c r="Q64" s="110">
        <v>32.03</v>
      </c>
      <c r="R64" s="39">
        <v>40.0</v>
      </c>
      <c r="S64" s="40">
        <v>56.63</v>
      </c>
      <c r="T64" s="40">
        <v>11.0</v>
      </c>
      <c r="U64" s="103">
        <f>Q63:Q67-R63:R67</f>
        <v>-7.97</v>
      </c>
      <c r="V64" s="54">
        <v>32.03</v>
      </c>
      <c r="W64" s="54">
        <v>32.03</v>
      </c>
      <c r="X64" s="44" t="s">
        <v>49</v>
      </c>
      <c r="Y64" s="45">
        <f>R2:R67-W2:W67</f>
        <v>7.97</v>
      </c>
      <c r="Z64" s="46"/>
      <c r="AA64" s="32"/>
    </row>
    <row r="65">
      <c r="A65" s="18"/>
      <c r="B65" s="62">
        <v>39652.0</v>
      </c>
      <c r="C65" s="3" t="s">
        <v>295</v>
      </c>
      <c r="D65" s="3" t="s">
        <v>296</v>
      </c>
      <c r="E65" s="3">
        <v>452990.0</v>
      </c>
      <c r="F65" s="3" t="s">
        <v>297</v>
      </c>
      <c r="G65" s="3" t="s">
        <v>298</v>
      </c>
      <c r="H65" s="3">
        <v>2.0</v>
      </c>
      <c r="I65" s="3" t="s">
        <v>290</v>
      </c>
      <c r="J65" s="39">
        <v>50.0</v>
      </c>
      <c r="K65" s="41">
        <f>SUM(N3:N67+O3:O67+P3:P67)</f>
        <v>35.08</v>
      </c>
      <c r="L65" s="39" t="s">
        <v>39</v>
      </c>
      <c r="M65" s="40">
        <v>3.05</v>
      </c>
      <c r="N65" s="41">
        <f>SUM(H2:H67*M2:M67)</f>
        <v>6.1</v>
      </c>
      <c r="O65" s="40">
        <v>27.98</v>
      </c>
      <c r="P65" s="40">
        <v>1.0</v>
      </c>
      <c r="Q65" s="110">
        <v>35.03</v>
      </c>
      <c r="R65" s="39">
        <v>50.0</v>
      </c>
      <c r="S65" s="40" t="s">
        <v>39</v>
      </c>
      <c r="T65" s="40">
        <v>11.0</v>
      </c>
      <c r="U65" s="103">
        <f>Q63:Q67-R63:R67</f>
        <v>-14.97</v>
      </c>
      <c r="V65" s="43">
        <v>25.0</v>
      </c>
      <c r="W65" s="43">
        <v>25.0</v>
      </c>
      <c r="X65" s="44" t="s">
        <v>49</v>
      </c>
      <c r="Y65" s="45">
        <f>R2:R67-W2:W67</f>
        <v>25</v>
      </c>
      <c r="Z65" s="46"/>
      <c r="AA65" s="32"/>
    </row>
    <row r="66">
      <c r="A66" s="100" t="s">
        <v>299</v>
      </c>
      <c r="B66" s="112">
        <v>42179.0</v>
      </c>
      <c r="C66" s="87" t="s">
        <v>300</v>
      </c>
      <c r="D66" s="87" t="s">
        <v>301</v>
      </c>
      <c r="E66" s="87">
        <v>592931.0</v>
      </c>
      <c r="F66" s="87" t="s">
        <v>302</v>
      </c>
      <c r="G66" s="87" t="s">
        <v>47</v>
      </c>
      <c r="H66" s="3">
        <v>1.0</v>
      </c>
      <c r="I66" s="3" t="s">
        <v>290</v>
      </c>
      <c r="J66" s="91">
        <v>25.0</v>
      </c>
      <c r="K66" s="41">
        <f>SUM(N3:N67+O3:O67+P3:P67)</f>
        <v>32.03</v>
      </c>
      <c r="L66" s="39" t="s">
        <v>39</v>
      </c>
      <c r="M66" s="40">
        <v>3.05</v>
      </c>
      <c r="N66" s="41">
        <f>SUM(H2:H67*M2:M67)</f>
        <v>3.05</v>
      </c>
      <c r="O66" s="40">
        <v>27.98</v>
      </c>
      <c r="P66" s="40">
        <v>1.0</v>
      </c>
      <c r="Q66" s="110">
        <v>32.03</v>
      </c>
      <c r="R66" s="91">
        <v>25.0</v>
      </c>
      <c r="S66" s="40" t="s">
        <v>39</v>
      </c>
      <c r="T66" s="40">
        <v>11.0</v>
      </c>
      <c r="U66" s="103">
        <f>Q63:Q67-R63:R67</f>
        <v>7.03</v>
      </c>
      <c r="V66" s="43">
        <v>25.0</v>
      </c>
      <c r="W66" s="43">
        <v>25.0</v>
      </c>
      <c r="X66" s="44" t="s">
        <v>49</v>
      </c>
      <c r="Y66" s="45">
        <f>R2:R67-W2:W67</f>
        <v>0</v>
      </c>
      <c r="Z66" s="46"/>
      <c r="AA66" s="32"/>
    </row>
    <row r="67">
      <c r="A67" s="35" t="s">
        <v>303</v>
      </c>
      <c r="B67" s="113">
        <v>41724.0</v>
      </c>
      <c r="C67" s="36" t="s">
        <v>304</v>
      </c>
      <c r="D67" s="36" t="s">
        <v>305</v>
      </c>
      <c r="E67" s="36" t="s">
        <v>76</v>
      </c>
      <c r="F67" s="36" t="s">
        <v>306</v>
      </c>
      <c r="G67" s="36" t="s">
        <v>47</v>
      </c>
      <c r="H67" s="3">
        <v>1.0</v>
      </c>
      <c r="I67" s="3" t="s">
        <v>290</v>
      </c>
      <c r="J67" s="37">
        <v>25.0</v>
      </c>
      <c r="K67" s="41">
        <f>SUM(N3:N67+O3:O67+P3:P67)</f>
        <v>32.03</v>
      </c>
      <c r="L67" s="39" t="s">
        <v>39</v>
      </c>
      <c r="M67" s="40">
        <v>3.05</v>
      </c>
      <c r="N67" s="41">
        <f>SUM(H2:H67*M2:M67)</f>
        <v>3.05</v>
      </c>
      <c r="O67" s="40">
        <v>27.98</v>
      </c>
      <c r="P67" s="40">
        <v>1.0</v>
      </c>
      <c r="Q67" s="110">
        <v>32.03</v>
      </c>
      <c r="R67" s="37">
        <v>25.0</v>
      </c>
      <c r="S67" s="40" t="s">
        <v>39</v>
      </c>
      <c r="T67" s="40">
        <v>11.0</v>
      </c>
      <c r="U67" s="103">
        <f>Q63:Q67-R63:R67</f>
        <v>7.03</v>
      </c>
      <c r="V67" s="43">
        <v>25.0</v>
      </c>
      <c r="W67" s="43">
        <v>25.0</v>
      </c>
      <c r="X67" s="44" t="s">
        <v>49</v>
      </c>
      <c r="Y67" s="45">
        <f>R2:R67-W2:W67</f>
        <v>0</v>
      </c>
      <c r="Z67" s="46"/>
      <c r="AA67" s="32"/>
    </row>
    <row r="68">
      <c r="K68" s="114"/>
      <c r="N68" s="115"/>
      <c r="P68" s="116"/>
      <c r="Q68" s="117" t="s">
        <v>307</v>
      </c>
      <c r="S68" s="32"/>
      <c r="T68" s="118"/>
      <c r="U68" s="118" t="s">
        <v>308</v>
      </c>
      <c r="V68" s="32"/>
      <c r="W68" s="118" t="s">
        <v>309</v>
      </c>
      <c r="X68" s="118" t="s">
        <v>310</v>
      </c>
      <c r="Y68" s="118" t="s">
        <v>311</v>
      </c>
      <c r="Z68" s="17"/>
      <c r="AA68" s="32"/>
    </row>
    <row r="69">
      <c r="K69" s="114"/>
      <c r="N69" s="115"/>
      <c r="P69" s="116"/>
      <c r="Q69" s="70">
        <f t="shared" ref="Q69:R69" si="7">SUM(Q2:Q62)</f>
        <v>1871.923333</v>
      </c>
      <c r="R69" s="70">
        <f t="shared" si="7"/>
        <v>2149.246667</v>
      </c>
      <c r="S69" s="32"/>
      <c r="T69" s="118"/>
      <c r="U69" s="102">
        <f t="shared" ref="U69:Y69" si="8">SUM(U2:U67)</f>
        <v>-294.1733333</v>
      </c>
      <c r="V69" s="102">
        <f t="shared" si="8"/>
        <v>1842.93</v>
      </c>
      <c r="W69" s="119">
        <f t="shared" si="8"/>
        <v>1695.744667</v>
      </c>
      <c r="X69" s="102">
        <f t="shared" si="8"/>
        <v>19.17366667</v>
      </c>
      <c r="Y69" s="102">
        <f t="shared" si="8"/>
        <v>444.2616667</v>
      </c>
      <c r="Z69" s="32"/>
      <c r="AA69" s="32"/>
    </row>
    <row r="70">
      <c r="N70" s="115"/>
      <c r="P70" s="116"/>
      <c r="U70" s="117" t="s">
        <v>312</v>
      </c>
      <c r="W70" s="117" t="s">
        <v>313</v>
      </c>
      <c r="X70" s="117" t="s">
        <v>314</v>
      </c>
      <c r="Y70" s="117" t="s">
        <v>314</v>
      </c>
      <c r="Z70" s="27"/>
    </row>
    <row r="71">
      <c r="N71" s="115"/>
      <c r="P71" s="116"/>
      <c r="U71" s="107">
        <f>12*U69</f>
        <v>-3530.08</v>
      </c>
      <c r="W71" s="120">
        <f>12*W69</f>
        <v>20348.936</v>
      </c>
      <c r="X71" s="70">
        <f t="shared" ref="X71:Y71" si="9">X69*12</f>
        <v>230.084</v>
      </c>
      <c r="Y71" s="70">
        <f t="shared" si="9"/>
        <v>5331.14</v>
      </c>
    </row>
    <row r="73">
      <c r="W73" s="27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1.14"/>
  </cols>
  <sheetData>
    <row r="1">
      <c r="A1" s="1" t="s">
        <v>0</v>
      </c>
      <c r="B1" s="2">
        <v>621.31</v>
      </c>
    </row>
    <row r="2">
      <c r="A2" s="4" t="s">
        <v>2</v>
      </c>
      <c r="B2" s="8">
        <f>12*B1</f>
        <v>7455.72</v>
      </c>
    </row>
    <row r="3">
      <c r="A3" s="10"/>
      <c r="B3" s="8"/>
    </row>
    <row r="4">
      <c r="A4" s="12" t="s">
        <v>16</v>
      </c>
      <c r="B4" s="2">
        <v>1506.08</v>
      </c>
    </row>
    <row r="5">
      <c r="A5" s="4" t="s">
        <v>2</v>
      </c>
      <c r="B5" s="8">
        <f>12*B4</f>
        <v>18072.96</v>
      </c>
    </row>
    <row r="6">
      <c r="A6" s="10"/>
      <c r="B6" s="8"/>
    </row>
    <row r="7">
      <c r="A7" s="14" t="s">
        <v>23</v>
      </c>
      <c r="B7" s="2">
        <v>67.63</v>
      </c>
    </row>
    <row r="8">
      <c r="A8" s="4" t="s">
        <v>2</v>
      </c>
      <c r="B8" s="16">
        <f>12*B7</f>
        <v>811.56</v>
      </c>
    </row>
    <row r="9">
      <c r="A9" s="10"/>
      <c r="B9" s="8"/>
    </row>
    <row r="10">
      <c r="A10" s="4" t="s">
        <v>28</v>
      </c>
      <c r="B10" s="8">
        <f>SUM(B7+B4+B1)</f>
        <v>2195.02</v>
      </c>
    </row>
    <row r="11">
      <c r="A11" s="19" t="s">
        <v>31</v>
      </c>
      <c r="B11" s="21">
        <f>B8+B5+B2</f>
        <v>26340.24</v>
      </c>
    </row>
    <row r="12">
      <c r="A12" s="10"/>
      <c r="B12" s="8"/>
    </row>
    <row r="13">
      <c r="A13" s="4" t="s">
        <v>37</v>
      </c>
      <c r="B13" s="16">
        <v>1695.74</v>
      </c>
      <c r="C13" s="23"/>
      <c r="D13" s="24"/>
    </row>
    <row r="14">
      <c r="A14" s="19" t="s">
        <v>38</v>
      </c>
      <c r="B14" s="23">
        <f>B13*12</f>
        <v>20348.88</v>
      </c>
      <c r="C14" s="23"/>
    </row>
    <row r="15">
      <c r="A15" s="10"/>
      <c r="B15" s="8"/>
    </row>
    <row r="16">
      <c r="A16" s="4" t="s">
        <v>40</v>
      </c>
      <c r="B16" s="8">
        <f t="shared" ref="B16:B17" si="1">B10-B13</f>
        <v>499.28</v>
      </c>
    </row>
    <row r="17">
      <c r="A17" s="19" t="s">
        <v>41</v>
      </c>
      <c r="B17" s="21">
        <f t="shared" si="1"/>
        <v>5991.36</v>
      </c>
      <c r="C17" s="24">
        <f>26337.36-B14</f>
        <v>5988.48</v>
      </c>
    </row>
    <row r="18">
      <c r="C18" s="27" t="s">
        <v>42</v>
      </c>
    </row>
  </sheetData>
  <drawing r:id="rId1"/>
</worksheet>
</file>